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2\server_agencija\RAZ\TabeleObjavaWEB\Final\2021\032021\"/>
    </mc:Choice>
  </mc:AlternateContent>
  <xr:revisionPtr revIDLastSave="0" documentId="13_ncr:1_{3B8DC2FC-3260-4891-991E-1BB632AF50E2}" xr6:coauthVersionLast="46" xr6:coauthVersionMax="46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1" sheetId="178" r:id="rId3"/>
    <sheet name="Tab 2" sheetId="5" r:id="rId4"/>
    <sheet name="Tab 3" sheetId="6" r:id="rId5"/>
    <sheet name="Tab 4" sheetId="11" r:id="rId6"/>
    <sheet name="Tab 5" sheetId="12" r:id="rId7"/>
    <sheet name="Tab 6" sheetId="13" r:id="rId8"/>
    <sheet name="Tab 7" sheetId="14" r:id="rId9"/>
    <sheet name="Tab 8" sheetId="15" r:id="rId10"/>
    <sheet name="Tab 9" sheetId="17" r:id="rId11"/>
    <sheet name="Tab 10" sheetId="18" r:id="rId12"/>
    <sheet name="Tab 11" sheetId="19" r:id="rId13"/>
    <sheet name="Tab 12" sheetId="22" r:id="rId14"/>
    <sheet name="Tab 13" sheetId="24" r:id="rId15"/>
    <sheet name="Tab 14" sheetId="25" r:id="rId16"/>
    <sheet name="Tab 15" sheetId="26" r:id="rId17"/>
    <sheet name="Tab 16" sheetId="29" r:id="rId18"/>
    <sheet name="Tab 17" sheetId="118" r:id="rId19"/>
    <sheet name="Tab 18" sheetId="34" r:id="rId20"/>
    <sheet name="Tab 19" sheetId="35" r:id="rId21"/>
    <sheet name="Tab 20" sheetId="138" r:id="rId22"/>
    <sheet name="Tab 21" sheetId="139" r:id="rId23"/>
    <sheet name="Tab 22" sheetId="140" r:id="rId24"/>
    <sheet name="Tab 23" sheetId="43" r:id="rId25"/>
    <sheet name="Tab 24" sheetId="44" r:id="rId26"/>
    <sheet name="Tab 25" sheetId="45" r:id="rId27"/>
    <sheet name="Tab 26" sheetId="30" r:id="rId28"/>
    <sheet name="Tab 27" sheetId="31" r:id="rId29"/>
    <sheet name="Tab 28" sheetId="32" r:id="rId30"/>
    <sheet name="Tab 29" sheetId="33" r:id="rId31"/>
    <sheet name="Tab 30" sheetId="50" r:id="rId32"/>
    <sheet name="Tab 31" sheetId="189" r:id="rId33"/>
    <sheet name="Tab 32" sheetId="185" r:id="rId34"/>
    <sheet name="Tab 33" sheetId="51" r:id="rId35"/>
    <sheet name="Pr 1" sheetId="55" r:id="rId36"/>
    <sheet name="Pr 2" sheetId="7" r:id="rId37"/>
    <sheet name="Pr 3" sheetId="134" r:id="rId38"/>
  </sheets>
  <definedNames>
    <definedName name="_ftn2" localSheetId="33">'Tab 32'!$A$11</definedName>
    <definedName name="_ftn3" localSheetId="33">'Tab 32'!$A$12</definedName>
    <definedName name="_xlnm.Print_Area" localSheetId="35">'Pr 1'!$A$1:$J$13</definedName>
    <definedName name="_xlnm.Print_Area" localSheetId="36">'Pr 2'!$A$1:$H$35</definedName>
    <definedName name="_xlnm.Print_Area" localSheetId="37">'Pr 3'!$A$1:$K$31</definedName>
    <definedName name="_xlnm.Print_Area" localSheetId="2">'Tab 1'!$B$1:$F$23</definedName>
    <definedName name="_xlnm.Print_Area" localSheetId="11">'Tab 10'!$A$1:$H$22</definedName>
    <definedName name="_xlnm.Print_Area" localSheetId="12">'Tab 11'!$A$1:$H$14</definedName>
    <definedName name="_xlnm.Print_Area" localSheetId="13">'Tab 12'!$A$1:$J$14</definedName>
    <definedName name="_xlnm.Print_Area" localSheetId="14">'Tab 13'!$A$1:$N$20</definedName>
    <definedName name="_xlnm.Print_Area" localSheetId="15">'Tab 14'!$A$1:$N$16</definedName>
    <definedName name="_xlnm.Print_Area" localSheetId="16">'Tab 15'!$A$1:$N$15</definedName>
    <definedName name="_xlnm.Print_Area" localSheetId="17">'Tab 16'!$A$1:$G$10</definedName>
    <definedName name="_xlnm.Print_Area" localSheetId="18">'Tab 17'!$A$2:$F$15</definedName>
    <definedName name="_xlnm.Print_Area" localSheetId="19">'Tab 18'!$A$1:$F$21</definedName>
    <definedName name="_xlnm.Print_Area" localSheetId="20">'Tab 19'!$A$1:$F$18</definedName>
    <definedName name="_xlnm.Print_Area" localSheetId="3">'Tab 2'!$A$1:$I$6</definedName>
    <definedName name="_xlnm.Print_Area" localSheetId="21">'Tab 20'!$A$1:$J$22</definedName>
    <definedName name="_xlnm.Print_Area" localSheetId="22">'Tab 21'!$A$1:$J$19</definedName>
    <definedName name="_xlnm.Print_Area" localSheetId="23">'Tab 22'!$A$1:$J$18</definedName>
    <definedName name="_xlnm.Print_Area" localSheetId="24">'Tab 23'!$A$1:$I$21</definedName>
    <definedName name="_xlnm.Print_Area" localSheetId="25">'Tab 24'!$A$1:$I$10</definedName>
    <definedName name="_xlnm.Print_Area" localSheetId="26">'Tab 25'!$A$1:$I$13</definedName>
    <definedName name="_xlnm.Print_Area" localSheetId="27">'Tab 26'!$A$1:$F$26</definedName>
    <definedName name="_xlnm.Print_Area" localSheetId="28">'Tab 27'!$A$1:$E$8</definedName>
    <definedName name="_xlnm.Print_Area" localSheetId="29">'Tab 28'!$A$1:$F$13</definedName>
    <definedName name="_xlnm.Print_Area" localSheetId="30">'Tab 29'!$A$1:$E$14</definedName>
    <definedName name="_xlnm.Print_Area" localSheetId="31">'Tab 30'!$A$1:$G$6</definedName>
    <definedName name="_xlnm.Print_Area" localSheetId="32">'Tab 31'!$A$1:$I$16</definedName>
    <definedName name="_xlnm.Print_Area" localSheetId="33">'Tab 32'!$A$1:$D$9</definedName>
    <definedName name="_xlnm.Print_Area" localSheetId="34">'Tab 33'!$A$1:$I$9</definedName>
    <definedName name="_xlnm.Print_Area" localSheetId="5">'Tab 4'!$A$1:$H$14</definedName>
    <definedName name="_xlnm.Print_Area" localSheetId="6">'Tab 5'!$A$1:$H$8</definedName>
    <definedName name="_xlnm.Print_Area" localSheetId="7">'Tab 6'!$A$1:$H$13</definedName>
    <definedName name="_xlnm.Print_Area" localSheetId="8">'Tab 7'!$A$1:$E$12</definedName>
    <definedName name="_xlnm.Print_Area" localSheetId="9">'Tab 8'!$A$1:$N$20</definedName>
    <definedName name="_xlnm.Print_Area" localSheetId="10">'Tab 9'!$A$1:$H$17</definedName>
    <definedName name="_xlnm.Print_Area" localSheetId="1">Tabele!$A$1:$B$37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85" l="1"/>
  <c r="F7" i="118" l="1"/>
  <c r="F15" i="35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H20" i="24" s="1"/>
  <c r="D19" i="24"/>
  <c r="B19" i="24"/>
  <c r="L18" i="24"/>
  <c r="F18" i="24"/>
  <c r="N18" i="24" s="1"/>
  <c r="L17" i="24"/>
  <c r="F17" i="24"/>
  <c r="L16" i="24"/>
  <c r="F16" i="24"/>
  <c r="N16" i="24" s="1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J20" i="24" l="1"/>
  <c r="N11" i="24"/>
  <c r="L19" i="24"/>
  <c r="N17" i="24"/>
  <c r="N15" i="24"/>
  <c r="N10" i="24"/>
  <c r="L12" i="24"/>
  <c r="N8" i="24"/>
  <c r="N7" i="24"/>
  <c r="D20" i="24"/>
  <c r="F19" i="24"/>
  <c r="B20" i="24"/>
  <c r="C10" i="24" s="1"/>
  <c r="C7" i="24"/>
  <c r="C11" i="24"/>
  <c r="C15" i="24"/>
  <c r="C17" i="24"/>
  <c r="C16" i="24"/>
  <c r="C18" i="24"/>
  <c r="C14" i="24"/>
  <c r="L20" i="24"/>
  <c r="E18" i="24"/>
  <c r="E14" i="24"/>
  <c r="E10" i="24"/>
  <c r="E16" i="24"/>
  <c r="E8" i="24"/>
  <c r="E7" i="24"/>
  <c r="E17" i="24"/>
  <c r="E9" i="24"/>
  <c r="E15" i="24"/>
  <c r="E11" i="24"/>
  <c r="N19" i="24"/>
  <c r="K18" i="24"/>
  <c r="K14" i="24"/>
  <c r="K10" i="24"/>
  <c r="K16" i="24"/>
  <c r="K15" i="24"/>
  <c r="K11" i="24"/>
  <c r="K17" i="24"/>
  <c r="K9" i="24"/>
  <c r="K8" i="24"/>
  <c r="K7" i="24"/>
  <c r="I15" i="24"/>
  <c r="I11" i="24"/>
  <c r="I7" i="24"/>
  <c r="I17" i="24"/>
  <c r="I9" i="24"/>
  <c r="I16" i="24"/>
  <c r="I18" i="24"/>
  <c r="I14" i="24"/>
  <c r="I10" i="24"/>
  <c r="I8" i="24"/>
  <c r="F12" i="24"/>
  <c r="N12" i="24" s="1"/>
  <c r="N14" i="24"/>
  <c r="D6" i="6"/>
  <c r="D5" i="6"/>
  <c r="D4" i="6"/>
  <c r="H5" i="140"/>
  <c r="C9" i="24" l="1"/>
  <c r="C8" i="24"/>
  <c r="C12" i="24"/>
  <c r="I19" i="24"/>
  <c r="K12" i="24"/>
  <c r="K19" i="24"/>
  <c r="E12" i="24"/>
  <c r="E19" i="24"/>
  <c r="E20" i="24" s="1"/>
  <c r="I12" i="24"/>
  <c r="C19" i="24"/>
  <c r="F20" i="24"/>
  <c r="M16" i="24"/>
  <c r="M8" i="24"/>
  <c r="M14" i="24"/>
  <c r="M17" i="24"/>
  <c r="M9" i="24"/>
  <c r="M15" i="24"/>
  <c r="M11" i="24"/>
  <c r="M7" i="24"/>
  <c r="M18" i="24"/>
  <c r="M10" i="24"/>
  <c r="I20" i="24" l="1"/>
  <c r="M12" i="24"/>
  <c r="G16" i="24"/>
  <c r="G8" i="24"/>
  <c r="G18" i="24"/>
  <c r="G14" i="24"/>
  <c r="G10" i="24"/>
  <c r="G17" i="24"/>
  <c r="G15" i="24"/>
  <c r="G11" i="24"/>
  <c r="G7" i="24"/>
  <c r="N20" i="24"/>
  <c r="G9" i="24"/>
  <c r="M19" i="24"/>
  <c r="C20" i="24"/>
  <c r="K20" i="24"/>
  <c r="M20" i="24" l="1"/>
  <c r="G19" i="24"/>
  <c r="G12" i="24"/>
  <c r="G20" i="24" s="1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5" i="189" l="1"/>
  <c r="H15" i="189"/>
  <c r="I12" i="189"/>
  <c r="H12" i="189"/>
  <c r="F16" i="189"/>
  <c r="G12" i="189" s="1"/>
  <c r="B16" i="189"/>
  <c r="D16" i="189"/>
  <c r="G15" i="189" l="1"/>
  <c r="G16" i="189" s="1"/>
  <c r="G11" i="189"/>
  <c r="G7" i="189"/>
  <c r="G14" i="189"/>
  <c r="G10" i="189"/>
  <c r="G6" i="189"/>
  <c r="G13" i="189"/>
  <c r="G9" i="189"/>
  <c r="G8" i="189"/>
  <c r="E11" i="189"/>
  <c r="E7" i="189"/>
  <c r="E15" i="189"/>
  <c r="E10" i="189"/>
  <c r="E6" i="189"/>
  <c r="I16" i="189"/>
  <c r="E13" i="189"/>
  <c r="E9" i="189"/>
  <c r="E14" i="189"/>
  <c r="E8" i="189"/>
  <c r="E12" i="189"/>
  <c r="H16" i="189"/>
  <c r="C13" i="189"/>
  <c r="C10" i="189"/>
  <c r="C14" i="189"/>
  <c r="C9" i="189"/>
  <c r="C8" i="189"/>
  <c r="C12" i="189"/>
  <c r="C11" i="189"/>
  <c r="C7" i="189"/>
  <c r="C15" i="189"/>
  <c r="C6" i="189"/>
  <c r="E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14" i="11" l="1"/>
  <c r="B31" i="7"/>
  <c r="B15" i="7"/>
  <c r="F14" i="7"/>
  <c r="D14" i="7"/>
  <c r="B14" i="7"/>
  <c r="B11" i="5" l="1"/>
  <c r="B16" i="5" s="1"/>
  <c r="F10" i="30" l="1"/>
  <c r="F9" i="30"/>
  <c r="F6" i="30"/>
  <c r="F22" i="178" l="1"/>
  <c r="E22" i="178"/>
  <c r="D22" i="178"/>
  <c r="C22" i="178"/>
  <c r="F13" i="178"/>
  <c r="E13" i="178"/>
  <c r="D13" i="178"/>
  <c r="C13" i="178"/>
  <c r="F23" i="178" l="1"/>
  <c r="E23" i="178"/>
  <c r="C23" i="178"/>
  <c r="D23" i="178"/>
  <c r="J9" i="5" l="1"/>
  <c r="A9" i="5"/>
  <c r="G12" i="5" l="1"/>
  <c r="G17" i="5" s="1"/>
  <c r="G11" i="5"/>
  <c r="G16" i="5" s="1"/>
  <c r="I12" i="5"/>
  <c r="I17" i="5" s="1"/>
  <c r="H12" i="5"/>
  <c r="H17" i="5" s="1"/>
  <c r="I11" i="5"/>
  <c r="I16" i="5" s="1"/>
  <c r="H11" i="5"/>
  <c r="H16" i="5" s="1"/>
  <c r="D12" i="5"/>
  <c r="D17" i="5" s="1"/>
  <c r="D11" i="5"/>
  <c r="D16" i="5" s="1"/>
  <c r="C12" i="5"/>
  <c r="C17" i="5" s="1"/>
  <c r="C11" i="5"/>
  <c r="C16" i="5" s="1"/>
  <c r="B12" i="5"/>
  <c r="B17" i="5" s="1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J30" i="134" s="1"/>
  <c r="E29" i="134"/>
  <c r="J29" i="134" s="1"/>
  <c r="E28" i="134"/>
  <c r="J28" i="134" s="1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14" i="140" l="1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J15" i="139" s="1"/>
  <c r="F15" i="139"/>
  <c r="E15" i="139"/>
  <c r="C15" i="139"/>
  <c r="B15" i="139"/>
  <c r="I11" i="139"/>
  <c r="H11" i="139"/>
  <c r="F11" i="139"/>
  <c r="E11" i="139"/>
  <c r="G11" i="139" s="1"/>
  <c r="C11" i="139"/>
  <c r="B11" i="139"/>
  <c r="I10" i="139"/>
  <c r="H10" i="139"/>
  <c r="J10" i="139" s="1"/>
  <c r="F10" i="139"/>
  <c r="E10" i="139"/>
  <c r="C10" i="139"/>
  <c r="B10" i="139"/>
  <c r="D10" i="139" s="1"/>
  <c r="I9" i="139"/>
  <c r="H9" i="139"/>
  <c r="F9" i="139"/>
  <c r="E9" i="139"/>
  <c r="G9" i="139" s="1"/>
  <c r="C9" i="139"/>
  <c r="B9" i="139"/>
  <c r="D9" i="139" s="1"/>
  <c r="I8" i="139"/>
  <c r="H8" i="139"/>
  <c r="J8" i="139" s="1"/>
  <c r="F8" i="139"/>
  <c r="E8" i="139"/>
  <c r="C8" i="139"/>
  <c r="B8" i="139"/>
  <c r="D8" i="139" s="1"/>
  <c r="I17" i="138"/>
  <c r="H17" i="138"/>
  <c r="F17" i="138"/>
  <c r="E17" i="138"/>
  <c r="C17" i="138"/>
  <c r="B17" i="138"/>
  <c r="I9" i="138"/>
  <c r="H9" i="138"/>
  <c r="F9" i="138"/>
  <c r="E9" i="138"/>
  <c r="C9" i="138"/>
  <c r="B9" i="138"/>
  <c r="I8" i="138"/>
  <c r="F8" i="138"/>
  <c r="C8" i="138"/>
  <c r="J9" i="139" l="1"/>
  <c r="J11" i="139"/>
  <c r="G15" i="139"/>
  <c r="G10" i="139"/>
  <c r="G8" i="139"/>
  <c r="D15" i="139"/>
  <c r="D11" i="139"/>
  <c r="J17" i="138"/>
  <c r="H8" i="138"/>
  <c r="J9" i="138"/>
  <c r="G17" i="138"/>
  <c r="E8" i="138"/>
  <c r="G8" i="138" s="1"/>
  <c r="G9" i="138"/>
  <c r="D17" i="138"/>
  <c r="B8" i="138"/>
  <c r="D8" i="138" s="1"/>
  <c r="D9" i="138"/>
  <c r="E7" i="139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D8" i="140" s="1"/>
  <c r="I9" i="140"/>
  <c r="F10" i="140"/>
  <c r="B13" i="140"/>
  <c r="D13" i="140" s="1"/>
  <c r="I13" i="140"/>
  <c r="E9" i="140"/>
  <c r="C16" i="140"/>
  <c r="E16" i="140"/>
  <c r="G16" i="140" s="1"/>
  <c r="C9" i="140"/>
  <c r="I8" i="140"/>
  <c r="C10" i="140"/>
  <c r="H8" i="140"/>
  <c r="H7" i="139"/>
  <c r="J7" i="139" s="1"/>
  <c r="G9" i="140" l="1"/>
  <c r="G13" i="140"/>
  <c r="G10" i="140"/>
  <c r="G8" i="140"/>
  <c r="D9" i="140"/>
  <c r="D16" i="140"/>
  <c r="D10" i="140"/>
  <c r="G7" i="139"/>
  <c r="D7" i="139"/>
  <c r="J8" i="138"/>
  <c r="H7" i="138"/>
  <c r="J7" i="138" s="1"/>
  <c r="G7" i="138"/>
  <c r="D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22" i="30"/>
  <c r="F26" i="30"/>
  <c r="F25" i="30"/>
  <c r="F24" i="30"/>
  <c r="F23" i="30"/>
  <c r="F21" i="30"/>
  <c r="F20" i="30"/>
  <c r="F19" i="30"/>
  <c r="F18" i="30"/>
  <c r="F17" i="30"/>
  <c r="F16" i="30"/>
  <c r="F15" i="30"/>
  <c r="F14" i="30"/>
  <c r="F13" i="30"/>
  <c r="F12" i="30"/>
  <c r="F11" i="30"/>
  <c r="F8" i="30"/>
  <c r="F7" i="30"/>
  <c r="C4" i="32" l="1"/>
  <c r="C9" i="32" s="1"/>
  <c r="F5" i="30"/>
  <c r="C12" i="32" l="1"/>
  <c r="C13" i="32"/>
  <c r="C7" i="32"/>
  <c r="C10" i="32"/>
  <c r="C6" i="32"/>
  <c r="F4" i="30"/>
  <c r="E14" i="118"/>
  <c r="D14" i="118"/>
  <c r="C14" i="118"/>
  <c r="F13" i="118"/>
  <c r="F12" i="118"/>
  <c r="E11" i="118"/>
  <c r="D11" i="118"/>
  <c r="C11" i="118"/>
  <c r="F10" i="118"/>
  <c r="F9" i="118"/>
  <c r="E8" i="118"/>
  <c r="D8" i="118"/>
  <c r="C8" i="118"/>
  <c r="F6" i="118"/>
  <c r="F11" i="118" l="1"/>
  <c r="C15" i="118"/>
  <c r="F14" i="118"/>
  <c r="D15" i="118"/>
  <c r="F8" i="118"/>
  <c r="E15" i="118"/>
  <c r="F15" i="118" l="1"/>
  <c r="B9" i="51" l="1"/>
  <c r="I8" i="51"/>
  <c r="H8" i="51"/>
  <c r="I7" i="51"/>
  <c r="H7" i="51"/>
  <c r="I6" i="51"/>
  <c r="H6" i="51"/>
  <c r="G9" i="51"/>
  <c r="F9" i="51"/>
  <c r="H9" i="51" l="1"/>
  <c r="I9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9" i="51"/>
  <c r="D9" i="51"/>
  <c r="C9" i="51"/>
  <c r="C18" i="15" l="1"/>
  <c r="C9" i="15"/>
  <c r="C7" i="15"/>
  <c r="C15" i="15"/>
  <c r="C14" i="15"/>
  <c r="C10" i="15"/>
  <c r="C16" i="15"/>
  <c r="C11" i="15"/>
  <c r="C8" i="15"/>
  <c r="C17" i="15"/>
  <c r="H6" i="11"/>
  <c r="F13" i="55" l="1"/>
  <c r="R6" i="35" l="1"/>
  <c r="F13" i="35" l="1"/>
  <c r="F16" i="35" s="1"/>
  <c r="D13" i="35"/>
  <c r="D16" i="35" s="1"/>
  <c r="E13" i="35"/>
  <c r="E16" i="35" s="1"/>
  <c r="C13" i="35"/>
  <c r="C16" i="35" s="1"/>
  <c r="B13" i="35"/>
  <c r="B16" i="35" s="1"/>
  <c r="J15" i="25" l="1"/>
  <c r="H11" i="13" l="1"/>
  <c r="H10" i="13"/>
  <c r="H8" i="13"/>
  <c r="H7" i="13"/>
  <c r="H6" i="13"/>
  <c r="H7" i="12"/>
  <c r="H6" i="12"/>
  <c r="F14" i="11" l="1"/>
  <c r="D14" i="11"/>
  <c r="F34" i="7" l="1"/>
  <c r="F33" i="7"/>
  <c r="D34" i="7"/>
  <c r="H34" i="7" s="1"/>
  <c r="D33" i="7"/>
  <c r="H33" i="7" s="1"/>
  <c r="B34" i="7"/>
  <c r="B33" i="7"/>
  <c r="B32" i="7" s="1"/>
  <c r="F31" i="7"/>
  <c r="G28" i="7" s="1"/>
  <c r="D31" i="7"/>
  <c r="C29" i="7"/>
  <c r="F19" i="7"/>
  <c r="D19" i="7"/>
  <c r="B19" i="7"/>
  <c r="F15" i="7"/>
  <c r="D15" i="7"/>
  <c r="H15" i="7" s="1"/>
  <c r="H29" i="7"/>
  <c r="H28" i="7"/>
  <c r="H27" i="7"/>
  <c r="H26" i="7"/>
  <c r="H25" i="7"/>
  <c r="H24" i="7"/>
  <c r="H23" i="7"/>
  <c r="H21" i="7"/>
  <c r="H20" i="7"/>
  <c r="H17" i="7"/>
  <c r="H16" i="7"/>
  <c r="H13" i="7"/>
  <c r="H12" i="7"/>
  <c r="H11" i="7"/>
  <c r="H10" i="7"/>
  <c r="H9" i="7"/>
  <c r="H8" i="7"/>
  <c r="H7" i="7"/>
  <c r="H6" i="7"/>
  <c r="H30" i="7"/>
  <c r="G13" i="7"/>
  <c r="E12" i="7"/>
  <c r="C13" i="7"/>
  <c r="H31" i="7" l="1"/>
  <c r="H19" i="7"/>
  <c r="F32" i="7"/>
  <c r="F35" i="7" s="1"/>
  <c r="D32" i="7"/>
  <c r="F18" i="7"/>
  <c r="D18" i="7"/>
  <c r="B18" i="7"/>
  <c r="B22" i="7" s="1"/>
  <c r="C8" i="7"/>
  <c r="C10" i="7"/>
  <c r="C12" i="7"/>
  <c r="E7" i="7"/>
  <c r="E9" i="7"/>
  <c r="E11" i="7"/>
  <c r="E13" i="7"/>
  <c r="G9" i="7"/>
  <c r="G7" i="7"/>
  <c r="G12" i="7"/>
  <c r="C24" i="7"/>
  <c r="C26" i="7"/>
  <c r="C28" i="7"/>
  <c r="C30" i="7"/>
  <c r="E25" i="7"/>
  <c r="G26" i="7"/>
  <c r="G24" i="7"/>
  <c r="G27" i="7"/>
  <c r="G30" i="7"/>
  <c r="E27" i="7"/>
  <c r="E30" i="7"/>
  <c r="H14" i="7"/>
  <c r="C7" i="7"/>
  <c r="C9" i="7"/>
  <c r="C11" i="7"/>
  <c r="E8" i="7"/>
  <c r="E10" i="7"/>
  <c r="G8" i="7"/>
  <c r="G11" i="7"/>
  <c r="G10" i="7"/>
  <c r="C25" i="7"/>
  <c r="C27" i="7"/>
  <c r="E24" i="7"/>
  <c r="E28" i="7"/>
  <c r="G29" i="7"/>
  <c r="G25" i="7"/>
  <c r="E26" i="7"/>
  <c r="E29" i="7"/>
  <c r="B35" i="7"/>
  <c r="H32" i="7" l="1"/>
  <c r="G14" i="7"/>
  <c r="C14" i="7"/>
  <c r="E14" i="7"/>
  <c r="F22" i="7"/>
  <c r="D35" i="7"/>
  <c r="H35" i="7" s="1"/>
  <c r="H18" i="7"/>
  <c r="D22" i="7"/>
  <c r="E31" i="7"/>
  <c r="G31" i="7"/>
  <c r="C31" i="7"/>
  <c r="H22" i="7" l="1"/>
  <c r="I13" i="55"/>
  <c r="H13" i="55"/>
  <c r="G13" i="55"/>
  <c r="J13" i="55"/>
  <c r="B13" i="34" l="1"/>
  <c r="F21" i="34" l="1"/>
  <c r="F19" i="34"/>
  <c r="F17" i="34"/>
  <c r="F15" i="34"/>
  <c r="F11" i="34"/>
  <c r="F7" i="34"/>
  <c r="F6" i="34"/>
  <c r="F20" i="34"/>
  <c r="F18" i="34"/>
  <c r="F16" i="34"/>
  <c r="F12" i="34"/>
  <c r="F10" i="34"/>
  <c r="H7" i="18"/>
  <c r="B8" i="34"/>
  <c r="C7" i="34" s="1"/>
  <c r="D8" i="34"/>
  <c r="E7" i="34" s="1"/>
  <c r="C11" i="34"/>
  <c r="D13" i="34"/>
  <c r="E12" i="34" s="1"/>
  <c r="C6" i="34" l="1"/>
  <c r="C8" i="34" s="1"/>
  <c r="B14" i="34"/>
  <c r="F13" i="34"/>
  <c r="F8" i="34"/>
  <c r="C12" i="34"/>
  <c r="E10" i="34"/>
  <c r="E11" i="34"/>
  <c r="C10" i="34"/>
  <c r="E6" i="34"/>
  <c r="E8" i="34" s="1"/>
  <c r="D14" i="34"/>
  <c r="F14" i="34" l="1"/>
  <c r="E13" i="34"/>
  <c r="C13" i="34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B17" i="17"/>
  <c r="B6" i="17"/>
  <c r="F17" i="17"/>
  <c r="D19" i="15"/>
  <c r="B12" i="13"/>
  <c r="B9" i="13"/>
  <c r="F12" i="13"/>
  <c r="F9" i="13"/>
  <c r="D12" i="13"/>
  <c r="D9" i="13"/>
  <c r="E13" i="26" l="1"/>
  <c r="E9" i="26"/>
  <c r="E12" i="26"/>
  <c r="E8" i="26"/>
  <c r="E7" i="26"/>
  <c r="E11" i="26"/>
  <c r="E14" i="26"/>
  <c r="E10" i="26"/>
  <c r="C8" i="26"/>
  <c r="C12" i="26"/>
  <c r="C11" i="26"/>
  <c r="C9" i="26"/>
  <c r="C7" i="26"/>
  <c r="C14" i="26"/>
  <c r="C10" i="26"/>
  <c r="C13" i="26"/>
  <c r="D14" i="33"/>
  <c r="H12" i="13"/>
  <c r="H9" i="13"/>
  <c r="B14" i="33"/>
  <c r="C13" i="17"/>
  <c r="F13" i="13"/>
  <c r="D20" i="15"/>
  <c r="H14" i="19"/>
  <c r="B13" i="13"/>
  <c r="C12" i="17"/>
  <c r="C8" i="17"/>
  <c r="C14" i="17"/>
  <c r="D13" i="13"/>
  <c r="C10" i="17"/>
  <c r="C15" i="17"/>
  <c r="C11" i="17"/>
  <c r="C7" i="17"/>
  <c r="E5" i="33"/>
  <c r="C9" i="17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L14" i="25"/>
  <c r="F14" i="25"/>
  <c r="L13" i="25"/>
  <c r="F13" i="25"/>
  <c r="L12" i="25"/>
  <c r="F12" i="25"/>
  <c r="D16" i="25"/>
  <c r="B16" i="25"/>
  <c r="L9" i="25"/>
  <c r="F9" i="25"/>
  <c r="L8" i="25"/>
  <c r="F8" i="25"/>
  <c r="L7" i="25"/>
  <c r="F7" i="25"/>
  <c r="K13" i="26" l="1"/>
  <c r="K9" i="26"/>
  <c r="K12" i="26"/>
  <c r="K8" i="26"/>
  <c r="K7" i="26"/>
  <c r="K11" i="26"/>
  <c r="K14" i="26"/>
  <c r="K10" i="26"/>
  <c r="I14" i="26"/>
  <c r="I10" i="26"/>
  <c r="I11" i="26"/>
  <c r="I13" i="26"/>
  <c r="I9" i="26"/>
  <c r="I8" i="26"/>
  <c r="I12" i="26"/>
  <c r="I7" i="26"/>
  <c r="N14" i="25"/>
  <c r="N13" i="25"/>
  <c r="N12" i="25"/>
  <c r="N9" i="25"/>
  <c r="N8" i="25"/>
  <c r="N7" i="25"/>
  <c r="E13" i="25"/>
  <c r="E8" i="25"/>
  <c r="E9" i="25"/>
  <c r="E12" i="25"/>
  <c r="E7" i="25"/>
  <c r="E14" i="25"/>
  <c r="C13" i="25"/>
  <c r="C9" i="25"/>
  <c r="C14" i="25"/>
  <c r="C7" i="25"/>
  <c r="C8" i="25"/>
  <c r="C12" i="25"/>
  <c r="I17" i="15"/>
  <c r="I11" i="15"/>
  <c r="I16" i="15"/>
  <c r="I15" i="15"/>
  <c r="I9" i="15"/>
  <c r="I18" i="15"/>
  <c r="I14" i="15"/>
  <c r="I7" i="15"/>
  <c r="I8" i="15"/>
  <c r="I10" i="15"/>
  <c r="N7" i="15"/>
  <c r="E18" i="15"/>
  <c r="E14" i="15"/>
  <c r="E11" i="15"/>
  <c r="E17" i="15"/>
  <c r="E8" i="15"/>
  <c r="E7" i="15"/>
  <c r="E9" i="15"/>
  <c r="E16" i="15"/>
  <c r="E15" i="15"/>
  <c r="E10" i="15"/>
  <c r="N16" i="15"/>
  <c r="N17" i="15"/>
  <c r="N18" i="15"/>
  <c r="N15" i="15"/>
  <c r="N14" i="15"/>
  <c r="N9" i="15"/>
  <c r="N10" i="15"/>
  <c r="N11" i="15"/>
  <c r="N8" i="15"/>
  <c r="H13" i="13"/>
  <c r="N8" i="26"/>
  <c r="E4" i="32"/>
  <c r="F12" i="15"/>
  <c r="L10" i="25"/>
  <c r="L12" i="15"/>
  <c r="F10" i="25"/>
  <c r="C6" i="17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B21" i="18"/>
  <c r="H20" i="18"/>
  <c r="H19" i="18"/>
  <c r="H18" i="18"/>
  <c r="H17" i="18"/>
  <c r="H16" i="18"/>
  <c r="H15" i="18"/>
  <c r="H12" i="18"/>
  <c r="H11" i="18"/>
  <c r="H10" i="18"/>
  <c r="H9" i="18"/>
  <c r="H8" i="18"/>
  <c r="F21" i="18"/>
  <c r="D21" i="18"/>
  <c r="F13" i="18"/>
  <c r="D13" i="18"/>
  <c r="B13" i="18"/>
  <c r="H16" i="17"/>
  <c r="H15" i="17"/>
  <c r="H14" i="17"/>
  <c r="H13" i="17"/>
  <c r="H12" i="17"/>
  <c r="H11" i="17"/>
  <c r="H10" i="17"/>
  <c r="H9" i="17"/>
  <c r="H8" i="17"/>
  <c r="H7" i="17"/>
  <c r="F6" i="17"/>
  <c r="D6" i="17"/>
  <c r="D17" i="17"/>
  <c r="D6" i="14"/>
  <c r="D9" i="14" s="1"/>
  <c r="C6" i="14"/>
  <c r="C9" i="14" s="1"/>
  <c r="B6" i="14"/>
  <c r="B9" i="14" s="1"/>
  <c r="M12" i="26" l="1"/>
  <c r="M8" i="26"/>
  <c r="M9" i="26"/>
  <c r="M11" i="26"/>
  <c r="M7" i="26"/>
  <c r="M13" i="26"/>
  <c r="M14" i="26"/>
  <c r="M10" i="26"/>
  <c r="G10" i="26"/>
  <c r="G14" i="26"/>
  <c r="G9" i="26"/>
  <c r="G11" i="26"/>
  <c r="G7" i="26"/>
  <c r="G13" i="26"/>
  <c r="G8" i="26"/>
  <c r="G12" i="26"/>
  <c r="K12" i="25"/>
  <c r="K9" i="25"/>
  <c r="K14" i="25"/>
  <c r="K8" i="25"/>
  <c r="K13" i="25"/>
  <c r="K7" i="25"/>
  <c r="N15" i="25"/>
  <c r="N10" i="25"/>
  <c r="I14" i="25"/>
  <c r="I13" i="25"/>
  <c r="I9" i="25"/>
  <c r="I12" i="25"/>
  <c r="I8" i="25"/>
  <c r="I7" i="25"/>
  <c r="K17" i="15"/>
  <c r="K8" i="15"/>
  <c r="K16" i="15"/>
  <c r="K11" i="15"/>
  <c r="K7" i="15"/>
  <c r="K15" i="15"/>
  <c r="K10" i="15"/>
  <c r="K18" i="15"/>
  <c r="K14" i="15"/>
  <c r="K9" i="15"/>
  <c r="N19" i="15"/>
  <c r="N12" i="15"/>
  <c r="E9" i="14"/>
  <c r="L20" i="15"/>
  <c r="D11" i="14"/>
  <c r="D12" i="14" s="1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H6" i="17"/>
  <c r="E13" i="17"/>
  <c r="E9" i="17"/>
  <c r="E12" i="17"/>
  <c r="E8" i="17"/>
  <c r="E15" i="17"/>
  <c r="E11" i="17"/>
  <c r="E7" i="17"/>
  <c r="E14" i="17"/>
  <c r="E10" i="17"/>
  <c r="G12" i="17"/>
  <c r="G8" i="17"/>
  <c r="G15" i="17"/>
  <c r="G11" i="17"/>
  <c r="G7" i="17"/>
  <c r="G14" i="17"/>
  <c r="G10" i="17"/>
  <c r="G13" i="17"/>
  <c r="G9" i="17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H21" i="18"/>
  <c r="F22" i="18"/>
  <c r="D22" i="18"/>
  <c r="B22" i="18"/>
  <c r="H13" i="18"/>
  <c r="H17" i="17"/>
  <c r="B11" i="14"/>
  <c r="B12" i="14" s="1"/>
  <c r="E10" i="13"/>
  <c r="E8" i="13"/>
  <c r="E11" i="13"/>
  <c r="E6" i="13"/>
  <c r="F8" i="12"/>
  <c r="D8" i="12"/>
  <c r="B8" i="12"/>
  <c r="M12" i="25" l="1"/>
  <c r="M8" i="25"/>
  <c r="M7" i="25"/>
  <c r="M14" i="25"/>
  <c r="M13" i="25"/>
  <c r="M9" i="25"/>
  <c r="G14" i="25"/>
  <c r="G9" i="25"/>
  <c r="G12" i="25"/>
  <c r="G15" i="25" s="1"/>
  <c r="N16" i="25"/>
  <c r="G13" i="25"/>
  <c r="G8" i="25"/>
  <c r="G7" i="25"/>
  <c r="M18" i="15"/>
  <c r="M7" i="15"/>
  <c r="M11" i="15"/>
  <c r="M15" i="15"/>
  <c r="M14" i="15"/>
  <c r="M8" i="15"/>
  <c r="M16" i="15"/>
  <c r="M9" i="15"/>
  <c r="M17" i="15"/>
  <c r="M10" i="15"/>
  <c r="G18" i="15"/>
  <c r="G8" i="15"/>
  <c r="G7" i="15"/>
  <c r="G15" i="15"/>
  <c r="G14" i="15"/>
  <c r="G9" i="15"/>
  <c r="G11" i="15"/>
  <c r="N20" i="15"/>
  <c r="G16" i="15"/>
  <c r="G10" i="15"/>
  <c r="G17" i="15"/>
  <c r="E12" i="14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C18" i="18"/>
  <c r="C12" i="18"/>
  <c r="C8" i="18"/>
  <c r="C17" i="18"/>
  <c r="C11" i="18"/>
  <c r="C7" i="18"/>
  <c r="C20" i="18"/>
  <c r="C16" i="18"/>
  <c r="C10" i="18"/>
  <c r="C19" i="18"/>
  <c r="C15" i="18"/>
  <c r="C9" i="18"/>
  <c r="E18" i="18"/>
  <c r="E12" i="18"/>
  <c r="E8" i="18"/>
  <c r="E17" i="18"/>
  <c r="E11" i="18"/>
  <c r="E7" i="18"/>
  <c r="E20" i="18"/>
  <c r="E16" i="18"/>
  <c r="E10" i="18"/>
  <c r="E19" i="18"/>
  <c r="E15" i="18"/>
  <c r="E9" i="18"/>
  <c r="G18" i="18"/>
  <c r="G12" i="18"/>
  <c r="G8" i="18"/>
  <c r="G17" i="18"/>
  <c r="G11" i="18"/>
  <c r="G7" i="18"/>
  <c r="G20" i="18"/>
  <c r="G16" i="18"/>
  <c r="G10" i="18"/>
  <c r="G19" i="18"/>
  <c r="G15" i="18"/>
  <c r="G9" i="18"/>
  <c r="E6" i="17"/>
  <c r="H22" i="18"/>
  <c r="E6" i="12"/>
  <c r="E7" i="12"/>
  <c r="G6" i="12"/>
  <c r="G7" i="12"/>
  <c r="M15" i="26"/>
  <c r="G15" i="26"/>
  <c r="K15" i="25"/>
  <c r="C15" i="25"/>
  <c r="E15" i="25"/>
  <c r="G14" i="19"/>
  <c r="C21" i="18"/>
  <c r="G21" i="18"/>
  <c r="E21" i="18"/>
  <c r="G6" i="17"/>
  <c r="E7" i="13"/>
  <c r="E9" i="13" s="1"/>
  <c r="G11" i="13"/>
  <c r="G6" i="13"/>
  <c r="G8" i="13"/>
  <c r="G10" i="13"/>
  <c r="G7" i="13"/>
  <c r="C6" i="13"/>
  <c r="C7" i="13"/>
  <c r="C11" i="13"/>
  <c r="C10" i="13"/>
  <c r="C8" i="13"/>
  <c r="E12" i="13"/>
  <c r="H8" i="12"/>
  <c r="G10" i="25" l="1"/>
  <c r="G16" i="25"/>
  <c r="M12" i="15"/>
  <c r="M19" i="15"/>
  <c r="G12" i="15"/>
  <c r="G19" i="15"/>
  <c r="M10" i="25"/>
  <c r="K20" i="15"/>
  <c r="G9" i="13"/>
  <c r="C8" i="12"/>
  <c r="I16" i="25"/>
  <c r="C16" i="25"/>
  <c r="K16" i="25"/>
  <c r="E16" i="25"/>
  <c r="M15" i="25"/>
  <c r="C13" i="18"/>
  <c r="C22" i="18" s="1"/>
  <c r="G13" i="18"/>
  <c r="G22" i="18" s="1"/>
  <c r="E13" i="18"/>
  <c r="E22" i="18" s="1"/>
  <c r="E13" i="13"/>
  <c r="C12" i="13"/>
  <c r="C9" i="13"/>
  <c r="G12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<sst xmlns="http://schemas.openxmlformats.org/spreadsheetml/2006/main" count="1109" uniqueCount="574">
  <si>
    <t>Датум</t>
  </si>
  <si>
    <t>Број запослених</t>
  </si>
  <si>
    <t>Износ</t>
  </si>
  <si>
    <t>%</t>
  </si>
  <si>
    <t>1.</t>
  </si>
  <si>
    <t>2.</t>
  </si>
  <si>
    <t>3.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</si>
  <si>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</si>
  <si>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</si>
  <si>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</si>
  <si>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</si>
  <si>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</si>
  <si>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</si>
  <si>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</si>
  <si>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</si>
  <si>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</si>
  <si>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</si>
  <si>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</si>
  <si>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</si>
  <si>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</si>
  <si>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</si>
  <si>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</si>
  <si>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</si>
  <si>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</si>
  <si>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</si>
  <si>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</si>
  <si>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</si>
  <si>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</si>
  <si>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</si>
  <si>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</si>
  <si>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</si>
  <si>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</si>
  <si>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</si>
  <si>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 xml:space="preserve">    Штедња и деп. по виђењу</t>
  </si>
  <si>
    <t xml:space="preserve">    До 3 мјесеца</t>
  </si>
  <si>
    <t xml:space="preserve">    До 1 године</t>
  </si>
  <si>
    <t>1. Укупно кратк. депозити</t>
  </si>
  <si>
    <t xml:space="preserve">    До 3 године </t>
  </si>
  <si>
    <t xml:space="preserve">    Преко 3 године</t>
  </si>
  <si>
    <t>2. Укупно дугор. депозити</t>
  </si>
  <si>
    <t>Укупно депозити (1+2)</t>
  </si>
  <si>
    <t>Укупно</t>
  </si>
  <si>
    <t>1. Краткорочни депозити</t>
  </si>
  <si>
    <t>2. Дугорочни депозити</t>
  </si>
  <si>
    <t>СВЕУКУПНО (1.+2.)</t>
  </si>
  <si>
    <t>Банке РС</t>
  </si>
  <si>
    <t>1. Активни ванбиланс</t>
  </si>
  <si>
    <t>2.  Комисиони послови</t>
  </si>
  <si>
    <t xml:space="preserve">     УКУПНО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</si>
  <si>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</si>
  <si>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</si>
  <si>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</si>
  <si>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</si>
  <si>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</si>
  <si>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</si>
  <si>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</si>
  <si>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ДЕВИЗЕ</t>
  </si>
  <si>
    <t>Рачуни депозита код депоз. инст.  у иностр.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</si>
  <si>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</si>
  <si>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</si>
  <si>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</si>
  <si>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</si>
  <si>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1. Краткорочни кредити грађана</t>
  </si>
  <si>
    <t>2. Дугорочни кредити грађана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</si>
  <si>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</si>
  <si>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</si>
  <si>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</si>
  <si>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</si>
  <si>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</si>
  <si>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</si>
  <si>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</si>
  <si>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</si>
  <si>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</si>
  <si>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</si>
  <si>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</si>
  <si>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</si>
  <si>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</si>
  <si>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</si>
  <si>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</si>
  <si>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</si>
  <si>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</si>
  <si>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</si>
  <si>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</si>
  <si>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</si>
  <si>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</si>
  <si>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</si>
  <si>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</si>
  <si>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</si>
  <si>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</si>
  <si>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</si>
  <si>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</si>
  <si>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</si>
  <si>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</si>
  <si>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</si>
  <si>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</si>
  <si>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</si>
  <si>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</si>
  <si>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</si>
  <si>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</si>
  <si>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</si>
  <si>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</si>
  <si>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</si>
  <si>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</si>
  <si>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</si>
  <si>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</si>
  <si>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</si>
  <si>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</si>
  <si>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</si>
  <si>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</si>
  <si>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</si>
  <si>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</si>
  <si>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</si>
  <si>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</si>
  <si>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</si>
  <si>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</si>
  <si>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</si>
  <si>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</si>
  <si>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</si>
  <si>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</si>
  <si>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</si>
  <si>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</si>
  <si>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</si>
  <si>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</si>
  <si>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</si>
  <si>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</si>
  <si>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</si>
  <si>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</si>
  <si>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</si>
  <si>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</si>
  <si>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</si>
  <si>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</si>
  <si>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5.  ROAA (1/3)</t>
  </si>
  <si>
    <t>6.  ROAE (2/4)</t>
  </si>
  <si>
    <t>Пословне јединице/Филијале</t>
  </si>
  <si>
    <t>06/2019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</si>
  <si>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</si>
  <si>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</si>
  <si>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</si>
  <si>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</si>
  <si>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</si>
  <si>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</si>
  <si>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</si>
  <si>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</si>
  <si>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</si>
  <si>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</si>
  <si>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</si>
  <si>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</si>
  <si>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</si>
  <si>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</si>
  <si>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</si>
  <si>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</si>
  <si>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</si>
  <si>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</si>
  <si>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</si>
  <si>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</si>
  <si>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</si>
  <si>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</si>
  <si>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</si>
  <si>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</si>
  <si>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</si>
  <si>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06/2018</t>
  </si>
  <si>
    <t>2. Нето ликвидносни одливи</t>
  </si>
  <si>
    <t>06/2015</t>
  </si>
  <si>
    <t>06/2016</t>
  </si>
  <si>
    <t>06/2017</t>
  </si>
  <si>
    <t>* Укупне приходе чине нето каматни приход и оперативни приход</t>
  </si>
  <si>
    <t>7. Нето каматни приход</t>
  </si>
  <si>
    <t>8.Оперативни приходи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</si>
  <si>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</si>
  <si>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</si>
  <si>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</si>
  <si>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</si>
  <si>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</si>
  <si>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</si>
  <si>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</si>
  <si>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</si>
  <si>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</si>
  <si>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</si>
  <si>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</si>
  <si>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</si>
  <si>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</si>
  <si>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</si>
  <si>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</si>
  <si>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</si>
  <si>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</si>
  <si>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</si>
  <si>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</si>
  <si>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</si>
  <si>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</si>
  <si>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</si>
  <si>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</si>
  <si>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</si>
  <si>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 xml:space="preserve"> УКУПНО</t>
  </si>
  <si>
    <t>БАНКА</t>
  </si>
  <si>
    <t xml:space="preserve">СЈЕДИШТЕ </t>
  </si>
  <si>
    <t>АДРЕСА</t>
  </si>
  <si>
    <t>ПРЕДСЈЕДНИК УПРАВЕ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</si>
  <si>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</si>
  <si>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</si>
  <si>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</si>
  <si>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</si>
  <si>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</si>
  <si>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</si>
  <si>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</si>
  <si>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>1. Кредити грађана</t>
  </si>
  <si>
    <t>2. Штедња грађана</t>
  </si>
  <si>
    <t xml:space="preserve"> 2.1. орочена штедња</t>
  </si>
  <si>
    <t xml:space="preserve"> 2.2. штедња по виђењу</t>
  </si>
  <si>
    <t>3. Кредити/Штедња</t>
  </si>
  <si>
    <t>4. Текући рачуни грађана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</si>
  <si>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</si>
  <si>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</si>
  <si>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</si>
  <si>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</si>
  <si>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</si>
  <si>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</si>
  <si>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</si>
  <si>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</si>
  <si>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</si>
  <si>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Укупна актива</t>
  </si>
  <si>
    <t>ТАБЕЛЕ ЗА ИЗВЈЕШТАЈ О СТАЊУ У БАНКАРСКОМ СЕКТОРУ РС</t>
  </si>
  <si>
    <t>Укупни капитал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</si>
  <si>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</si>
  <si>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</si>
  <si>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</si>
  <si>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</si>
  <si>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</si>
  <si>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</si>
  <si>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</si>
  <si>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Укупни кредити становништву</t>
  </si>
  <si>
    <t>Кредити становништву за обављање дјелатности</t>
  </si>
  <si>
    <t>Банке РС* (1.1.-1.2.)</t>
  </si>
  <si>
    <t>2.1.</t>
  </si>
  <si>
    <t>2.2.</t>
  </si>
  <si>
    <t>Пословне јединице банака РС у ФБиХ* (2.1.-2.2.)</t>
  </si>
  <si>
    <t>3.1.</t>
  </si>
  <si>
    <t>3.2.</t>
  </si>
  <si>
    <t>Пословне јединице банака ФБиХ у РС* (3.1.-3.2.)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</si>
  <si>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</si>
  <si>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</si>
  <si>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</si>
  <si>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</si>
  <si>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</si>
  <si>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</si>
  <si>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</si>
  <si>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</si>
  <si>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</si>
  <si>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</si>
  <si>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</si>
  <si>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</si>
  <si>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</si>
  <si>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</si>
  <si>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</si>
  <si>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</si>
  <si>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</si>
  <si>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</si>
  <si>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</si>
  <si>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</si>
  <si>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</si>
  <si>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</si>
  <si>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</si>
  <si>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</si>
  <si>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</si>
  <si>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</si>
  <si>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</si>
  <si>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</si>
  <si>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</si>
  <si>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</si>
  <si>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</si>
  <si>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</si>
  <si>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</si>
  <si>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</si>
  <si>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</si>
  <si>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</si>
  <si>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</si>
  <si>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</si>
  <si>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</si>
  <si>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</si>
  <si>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</si>
  <si>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</si>
  <si>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</si>
  <si>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</si>
  <si>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</si>
  <si>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</si>
  <si>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</si>
  <si>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</si>
  <si>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</si>
  <si>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</si>
  <si>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</si>
  <si>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</si>
  <si>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</si>
  <si>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 xml:space="preserve">  Правна лица</t>
  </si>
  <si>
    <t xml:space="preserve">  Физичка лица</t>
  </si>
  <si>
    <t>Депозити</t>
  </si>
  <si>
    <t>Банке са већински домаћим капиталом</t>
  </si>
  <si>
    <t>Банке са већински страним капиталом</t>
  </si>
  <si>
    <t>Тип</t>
  </si>
  <si>
    <t>Банкарски сектор</t>
  </si>
  <si>
    <t>Шифра</t>
  </si>
  <si>
    <t>Tab 3</t>
  </si>
  <si>
    <t>Tab 5</t>
  </si>
  <si>
    <t>Tab 8</t>
  </si>
  <si>
    <t>Tab 10</t>
  </si>
  <si>
    <t>Tab 17</t>
  </si>
  <si>
    <t>010</t>
  </si>
  <si>
    <t>015</t>
  </si>
  <si>
    <t>020</t>
  </si>
  <si>
    <t>040</t>
  </si>
  <si>
    <t>060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</si>
  <si>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</si>
  <si>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</si>
  <si>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140</t>
  </si>
  <si>
    <t>150</t>
  </si>
  <si>
    <t>180</t>
  </si>
  <si>
    <t>200</t>
  </si>
  <si>
    <t>340</t>
  </si>
  <si>
    <t>1.1.1.11</t>
  </si>
  <si>
    <t>370</t>
  </si>
  <si>
    <t>440</t>
  </si>
  <si>
    <t>490</t>
  </si>
  <si>
    <t>530</t>
  </si>
  <si>
    <t>540</t>
  </si>
  <si>
    <t>720</t>
  </si>
  <si>
    <t>740</t>
  </si>
  <si>
    <t>750</t>
  </si>
  <si>
    <t>760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</si>
  <si>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</si>
  <si>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</si>
  <si>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</si>
  <si>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</si>
  <si>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</si>
  <si>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</si>
  <si>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</si>
  <si>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</si>
  <si>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</si>
  <si>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Кредити и штедња грађана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</si>
  <si>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</si>
  <si>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</si>
  <si>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</si>
  <si>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</si>
  <si>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</si>
  <si>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</si>
  <si>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</si>
  <si>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</si>
  <si>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</si>
  <si>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</si>
  <si>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</si>
  <si>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</si>
  <si>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</si>
  <si>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</si>
  <si>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</si>
  <si>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</si>
  <si>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</si>
  <si>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</si>
  <si>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</si>
  <si>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</si>
  <si>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</si>
  <si>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</si>
  <si>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</si>
  <si>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</si>
  <si>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</si>
  <si>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</si>
  <si>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</si>
  <si>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</si>
  <si>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</si>
  <si>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</si>
  <si>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</si>
  <si>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</si>
  <si>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</si>
  <si>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</si>
  <si>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</si>
  <si>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</si>
  <si>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</si>
  <si>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</si>
  <si>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</si>
  <si>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</si>
  <si>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</si>
  <si>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</si>
  <si>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</si>
  <si>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</si>
  <si>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</si>
  <si>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</si>
  <si>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</si>
  <si>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Девизни платни промет (противриједност у КМ)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</si>
  <si>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</si>
  <si>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</si>
  <si>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</si>
  <si>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Намјенска структура кредита грађанима за општу потрошњу</t>
  </si>
  <si>
    <t>Структура кредита грађанима банака РС и посл. јединица банака из ФБиХ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</si>
  <si>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</si>
  <si>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</si>
  <si>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</si>
  <si>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I Банке у Републици Српској</t>
  </si>
  <si>
    <t>II Орг. дијелови банака из ФБиХ у РС</t>
  </si>
  <si>
    <t>Остали организациони дијелови</t>
  </si>
  <si>
    <t>POS уређаји</t>
  </si>
  <si>
    <t>Укупно I</t>
  </si>
  <si>
    <t>Укупно II</t>
  </si>
  <si>
    <t>Укупно I+II</t>
  </si>
  <si>
    <t>мил. КМ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</si>
  <si>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</si>
  <si>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</si>
  <si>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</si>
  <si>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</si>
  <si>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</si>
  <si>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</si>
  <si>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Банке</t>
  </si>
  <si>
    <t>Неопозиве обавезе за давање кредита</t>
  </si>
  <si>
    <t>Купљена потраживања по датим кредитима</t>
  </si>
  <si>
    <t>Неопозиви док. акредитиви</t>
  </si>
  <si>
    <t>Остали акредитиви за плаћ. у ино.</t>
  </si>
  <si>
    <t>Издате мјенице и дати авали</t>
  </si>
  <si>
    <t>Ностро фин.активн.везано за процес наплате</t>
  </si>
  <si>
    <t>Текући уговори за трансак. с девизама</t>
  </si>
  <si>
    <t>Остале ставке ванбиланса</t>
  </si>
  <si>
    <t>Владине институције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</si>
  <si>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</si>
  <si>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</si>
  <si>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</si>
  <si>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</si>
  <si>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</si>
  <si>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Грађани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</si>
  <si>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</si>
  <si>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</si>
  <si>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</si>
  <si>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</si>
  <si>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</si>
  <si>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</si>
  <si>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</si>
  <si>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</si>
  <si>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</si>
  <si>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</si>
  <si>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</si>
  <si>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</si>
  <si>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</si>
  <si>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</si>
  <si>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09/2020.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</si>
  <si>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</si>
  <si>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</si>
  <si>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</si>
  <si>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</si>
  <si>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</si>
  <si>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</si>
  <si>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</si>
  <si>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</si>
  <si>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</si>
  <si>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</si>
  <si>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</si>
  <si>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</si>
  <si>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</si>
  <si>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</si>
  <si>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</si>
  <si>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</si>
  <si>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</si>
  <si>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До 5 година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</si>
  <si>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</si>
  <si>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</si>
  <si>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</si>
  <si>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</si>
  <si>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</si>
  <si>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</si>
  <si>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</si>
  <si>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</si>
  <si>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</si>
  <si>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</si>
  <si>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</si>
  <si>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</si>
  <si>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</si>
  <si>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</si>
  <si>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</si>
  <si>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</si>
  <si>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</si>
  <si>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</si>
  <si>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</si>
  <si>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</si>
  <si>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</si>
  <si>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</si>
  <si>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</si>
  <si>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</si>
  <si>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</si>
  <si>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</si>
  <si>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</si>
  <si>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</si>
  <si>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</si>
  <si>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</si>
  <si>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</si>
  <si>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</si>
  <si>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</si>
  <si>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</si>
  <si>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</si>
  <si>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</si>
  <si>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</si>
  <si>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</si>
  <si>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</si>
  <si>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</si>
  <si>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</si>
  <si>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</si>
  <si>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</si>
  <si>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</si>
  <si>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</si>
  <si>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</si>
  <si>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</si>
  <si>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</si>
  <si>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</si>
  <si>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</si>
  <si>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</si>
  <si>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</si>
  <si>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</si>
  <si>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</si>
  <si>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</si>
  <si>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</si>
  <si>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</si>
  <si>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9.Исправке вриједности</t>
  </si>
  <si>
    <t>Банке и др. фин.инст.</t>
  </si>
  <si>
    <t>СВЕУКУПНО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</si>
  <si>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</si>
  <si>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</si>
  <si>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</si>
  <si>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</si>
  <si>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1. ПРИХОДИ ПО КАМАТАМА И СЛ. ПРИХОДИ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</si>
  <si>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</si>
  <si>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</si>
  <si>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</si>
  <si>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</si>
  <si>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</si>
  <si>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</si>
  <si>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</si>
  <si>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</si>
  <si>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>31.03.2021</t>
  </si>
  <si>
    <t>2019.</t>
  </si>
  <si>
    <t>2020.</t>
  </si>
  <si>
    <t>03/2021.</t>
  </si>
  <si>
    <t>"Нова банка" а.д. Бања Лука</t>
  </si>
  <si>
    <t>"UniCredit Bank" а.д. Бања Лука</t>
  </si>
  <si>
    <t>"НЛБ банка" а.д. Бања Лука</t>
  </si>
  <si>
    <t>"Sberbank" а.д. Бања Лука</t>
  </si>
  <si>
    <t>"Addiko Bank" а.д. Бања Лука</t>
  </si>
  <si>
    <t>"МФ банка" а.д. Бања Лука</t>
  </si>
  <si>
    <t>"Комерцијална банка" а.д. Бања Лука</t>
  </si>
  <si>
    <t>"Наша банка" а.д. Бијељина</t>
  </si>
  <si>
    <t>"UniCredit Bank" д.д. Мостар</t>
  </si>
  <si>
    <t>"ProCredit Bank" д.д. Сарајево</t>
  </si>
  <si>
    <t>"Raiffeisen Bank" д.д. Сарајево</t>
  </si>
  <si>
    <t>"Intesa SanPaolo banka" д.д. Сарајево</t>
  </si>
  <si>
    <t>"Sparkasse Bank" д.д. Сарајево</t>
  </si>
  <si>
    <t>"Ziraat Bank" д.д. Сарајево</t>
  </si>
  <si>
    <t>"Bosna Bank International" д.д. Сарајево</t>
  </si>
  <si>
    <t>03/2020.</t>
  </si>
  <si>
    <t>03/2017.</t>
  </si>
  <si>
    <t>03/2018.</t>
  </si>
  <si>
    <t>03/2019.</t>
  </si>
  <si>
    <t>06/2020.</t>
  </si>
  <si>
    <t>01/2021.</t>
  </si>
  <si>
    <t>02/2021.</t>
  </si>
  <si>
    <t>Јеврејска 71</t>
  </si>
  <si>
    <t>Јеврејска 69</t>
  </si>
  <si>
    <t>Алеја Светог Саве 13</t>
  </si>
  <si>
    <t>Алеја светог Саве 61</t>
  </si>
  <si>
    <t>Гордан Пехар</t>
  </si>
  <si>
    <t>Патријарха Павла 3</t>
  </si>
  <si>
    <t>Бања Лука</t>
  </si>
  <si>
    <t>Бијељина</t>
  </si>
  <si>
    <t>Марије Бурсаћ 7</t>
  </si>
  <si>
    <t>Милана Тепића 4</t>
  </si>
  <si>
    <t>Синиша Аџић</t>
  </si>
  <si>
    <t>Радован Бајић</t>
  </si>
  <si>
    <t>Александар Кесић</t>
  </si>
  <si>
    <t>Срђан Кондић</t>
  </si>
  <si>
    <t>Бојан Лубурић</t>
  </si>
  <si>
    <t>Бошко Мекињић</t>
  </si>
  <si>
    <t>Дејан Вуклишевић</t>
  </si>
  <si>
    <t>Краља Алфонса XIII бр 37А</t>
  </si>
  <si>
    <t>Напомена: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</si>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</sst>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9"/>
      <color rgb="FF92D05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</fills>
  <borders count="181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rgb="FF808080"/>
      </left>
      <right style="dotted">
        <color rgb="FF808080"/>
      </right>
      <top/>
      <bottom/>
      <diagonal/>
    </border>
    <border>
      <left style="dotted">
        <color rgb="FF808080"/>
      </left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auto="1"/>
      </right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rgb="FF808080"/>
      </bottom>
      <diagonal/>
    </border>
    <border>
      <left/>
      <right style="dotted">
        <color theme="1" tint="0.499984740745262"/>
      </right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auto="1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 style="dotted">
        <color auto="1"/>
      </left>
      <right/>
      <top/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/>
      <diagonal/>
    </border>
  </borders>
  <cellStyleXfs count="30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4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24" fillId="0" borderId="0"/>
    <xf numFmtId="0" fontId="8" fillId="0" borderId="0"/>
    <xf numFmtId="0" fontId="35" fillId="0" borderId="0"/>
    <xf numFmtId="0" fontId="36" fillId="0" borderId="0"/>
    <xf numFmtId="0" fontId="6" fillId="0" borderId="0"/>
    <xf numFmtId="9" fontId="6" fillId="0" borderId="0" applyFont="0" applyFill="0" applyBorder="0" applyAlignment="0" applyProtection="0"/>
    <xf numFmtId="0" fontId="35" fillId="0" borderId="0"/>
    <xf numFmtId="0" fontId="42" fillId="0" borderId="0"/>
    <xf numFmtId="0" fontId="8" fillId="0" borderId="0"/>
    <xf numFmtId="0" fontId="44" fillId="0" borderId="0" applyBorder="0"/>
    <xf numFmtId="0" fontId="45" fillId="0" borderId="0"/>
    <xf numFmtId="0" fontId="45" fillId="0" borderId="0"/>
    <xf numFmtId="0" fontId="36" fillId="0" borderId="0"/>
    <xf numFmtId="0" fontId="46" fillId="0" borderId="0"/>
    <xf numFmtId="0" fontId="6" fillId="0" borderId="0"/>
    <xf numFmtId="0" fontId="24" fillId="0" borderId="0"/>
  </cellStyleXfs>
  <cellXfs count="893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4" borderId="0" xfId="0" applyNumberFormat="1" applyFont="1" applyFill="1" applyBorder="1" applyAlignment="1">
      <alignment horizontal="right" vertical="center" wrapText="1"/>
    </xf>
    <xf numFmtId="165" fontId="9" fillId="4" borderId="3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3" fontId="9" fillId="4" borderId="0" xfId="2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5" fillId="0" borderId="0" xfId="7" applyFont="1" applyAlignment="1">
      <alignment horizontal="center"/>
    </xf>
    <xf numFmtId="0" fontId="26" fillId="0" borderId="0" xfId="7" applyFont="1" applyAlignment="1">
      <alignment horizontal="left" wrapText="1"/>
    </xf>
    <xf numFmtId="0" fontId="27" fillId="0" borderId="0" xfId="7" applyFont="1" applyAlignment="1">
      <alignment horizontal="right" vertical="center"/>
    </xf>
    <xf numFmtId="22" fontId="24" fillId="0" borderId="0" xfId="7" applyNumberFormat="1"/>
    <xf numFmtId="0" fontId="12" fillId="4" borderId="0" xfId="0" applyFont="1" applyFill="1"/>
    <xf numFmtId="0" fontId="17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4" fillId="0" borderId="0" xfId="7"/>
    <xf numFmtId="14" fontId="24" fillId="0" borderId="0" xfId="7" applyNumberFormat="1"/>
    <xf numFmtId="0" fontId="39" fillId="0" borderId="0" xfId="1" applyFont="1" applyAlignment="1">
      <alignment vertical="center"/>
    </xf>
    <xf numFmtId="14" fontId="37" fillId="0" borderId="0" xfId="7" applyNumberFormat="1" applyFont="1"/>
    <xf numFmtId="0" fontId="41" fillId="0" borderId="0" xfId="7" applyFont="1"/>
    <xf numFmtId="14" fontId="41" fillId="0" borderId="0" xfId="7" applyNumberFormat="1" applyFont="1"/>
    <xf numFmtId="0" fontId="24" fillId="0" borderId="0" xfId="7" applyAlignment="1">
      <alignment horizontal="right" vertical="center"/>
    </xf>
    <xf numFmtId="0" fontId="38" fillId="0" borderId="0" xfId="0" applyFont="1"/>
    <xf numFmtId="0" fontId="27" fillId="0" borderId="7" xfId="0" applyFont="1" applyBorder="1" applyAlignment="1">
      <alignment vertical="center"/>
    </xf>
    <xf numFmtId="0" fontId="37" fillId="0" borderId="0" xfId="7" applyFont="1"/>
    <xf numFmtId="0" fontId="24" fillId="0" borderId="0" xfId="7" applyFill="1"/>
    <xf numFmtId="0" fontId="24" fillId="0" borderId="0" xfId="7"/>
    <xf numFmtId="0" fontId="24" fillId="0" borderId="0" xfId="7" applyAlignment="1">
      <alignment horizontal="center" vertical="center"/>
    </xf>
    <xf numFmtId="3" fontId="24" fillId="0" borderId="0" xfId="7" applyNumberFormat="1"/>
    <xf numFmtId="0" fontId="24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9" xfId="0" applyBorder="1"/>
    <xf numFmtId="0" fontId="43" fillId="0" borderId="9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4" fillId="0" borderId="9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28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32" fillId="5" borderId="0" xfId="0" applyFont="1" applyFill="1"/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3" fontId="9" fillId="4" borderId="0" xfId="0" applyNumberFormat="1" applyFont="1" applyFill="1" applyAlignment="1">
      <alignment horizontal="right" vertical="center" wrapText="1" indent="1"/>
    </xf>
    <xf numFmtId="0" fontId="10" fillId="4" borderId="18" xfId="0" applyFont="1" applyFill="1" applyBorder="1" applyAlignment="1">
      <alignment horizontal="left" vertical="center" wrapText="1"/>
    </xf>
    <xf numFmtId="3" fontId="10" fillId="4" borderId="19" xfId="0" applyNumberFormat="1" applyFont="1" applyFill="1" applyBorder="1" applyAlignment="1">
      <alignment horizontal="right" vertical="center" wrapText="1" indent="1"/>
    </xf>
    <xf numFmtId="0" fontId="22" fillId="4" borderId="17" xfId="0" applyFont="1" applyFill="1" applyBorder="1" applyAlignment="1">
      <alignment horizontal="left" vertical="center" wrapText="1"/>
    </xf>
    <xf numFmtId="3" fontId="11" fillId="4" borderId="0" xfId="0" applyNumberFormat="1" applyFont="1" applyFill="1" applyAlignment="1">
      <alignment horizontal="right" vertical="center" wrapText="1" indent="1"/>
    </xf>
    <xf numFmtId="0" fontId="10" fillId="4" borderId="1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3" fontId="10" fillId="4" borderId="21" xfId="0" applyNumberFormat="1" applyFont="1" applyFill="1" applyBorder="1" applyAlignment="1">
      <alignment horizontal="right" vertical="center" wrapText="1" indent="1"/>
    </xf>
    <xf numFmtId="0" fontId="48" fillId="5" borderId="0" xfId="0" applyFont="1" applyFill="1" applyAlignment="1">
      <alignment horizontal="right" vertical="center"/>
    </xf>
    <xf numFmtId="0" fontId="48" fillId="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right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164" fontId="12" fillId="4" borderId="25" xfId="0" applyNumberFormat="1" applyFont="1" applyFill="1" applyBorder="1" applyAlignment="1">
      <alignment horizontal="right" vertical="center" wrapText="1" indent="1"/>
    </xf>
    <xf numFmtId="164" fontId="12" fillId="4" borderId="0" xfId="0" applyNumberFormat="1" applyFont="1" applyFill="1" applyAlignment="1">
      <alignment horizontal="right" vertical="center" wrapText="1" indent="1"/>
    </xf>
    <xf numFmtId="0" fontId="12" fillId="4" borderId="17" xfId="0" applyFont="1" applyFill="1" applyBorder="1" applyAlignment="1">
      <alignment horizontal="right" vertical="center" wrapText="1" indent="1"/>
    </xf>
    <xf numFmtId="0" fontId="12" fillId="4" borderId="0" xfId="0" applyFont="1" applyFill="1" applyAlignment="1">
      <alignment horizontal="right" vertical="center" wrapText="1" indent="1"/>
    </xf>
    <xf numFmtId="0" fontId="9" fillId="4" borderId="21" xfId="0" applyFont="1" applyFill="1" applyBorder="1" applyAlignment="1">
      <alignment vertical="center" wrapText="1"/>
    </xf>
    <xf numFmtId="164" fontId="12" fillId="4" borderId="38" xfId="0" applyNumberFormat="1" applyFont="1" applyFill="1" applyBorder="1" applyAlignment="1">
      <alignment horizontal="right" vertical="center" wrapText="1" indent="1"/>
    </xf>
    <xf numFmtId="164" fontId="12" fillId="4" borderId="21" xfId="0" applyNumberFormat="1" applyFont="1" applyFill="1" applyBorder="1" applyAlignment="1">
      <alignment horizontal="right" vertical="center" wrapText="1" indent="1"/>
    </xf>
    <xf numFmtId="0" fontId="12" fillId="4" borderId="20" xfId="0" applyFont="1" applyFill="1" applyBorder="1" applyAlignment="1">
      <alignment horizontal="right" vertical="center" wrapText="1" indent="1"/>
    </xf>
    <xf numFmtId="0" fontId="12" fillId="4" borderId="21" xfId="0" applyFont="1" applyFill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/>
    <xf numFmtId="49" fontId="13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52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53" fillId="5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center" vertical="center" wrapText="1"/>
    </xf>
    <xf numFmtId="3" fontId="9" fillId="4" borderId="41" xfId="0" applyNumberFormat="1" applyFont="1" applyFill="1" applyBorder="1" applyAlignment="1">
      <alignment horizontal="right" vertical="center" wrapText="1" indent="1"/>
    </xf>
    <xf numFmtId="164" fontId="9" fillId="4" borderId="41" xfId="0" applyNumberFormat="1" applyFont="1" applyFill="1" applyBorder="1" applyAlignment="1">
      <alignment horizontal="right" vertical="center" wrapText="1" indent="1"/>
    </xf>
    <xf numFmtId="164" fontId="9" fillId="4" borderId="0" xfId="0" applyNumberFormat="1" applyFont="1" applyFill="1" applyAlignment="1">
      <alignment horizontal="right" vertical="center" wrapText="1" indent="1"/>
    </xf>
    <xf numFmtId="3" fontId="9" fillId="4" borderId="42" xfId="0" applyNumberFormat="1" applyFont="1" applyFill="1" applyBorder="1" applyAlignment="1">
      <alignment horizontal="right" vertical="center" wrapText="1" indent="1"/>
    </xf>
    <xf numFmtId="164" fontId="9" fillId="4" borderId="42" xfId="0" applyNumberFormat="1" applyFont="1" applyFill="1" applyBorder="1" applyAlignment="1">
      <alignment horizontal="right" vertical="center" wrapText="1" indent="1"/>
    </xf>
    <xf numFmtId="0" fontId="10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47" xfId="0" applyFont="1" applyFill="1" applyBorder="1" applyAlignment="1">
      <alignment horizontal="right" vertical="center" wrapText="1"/>
    </xf>
    <xf numFmtId="0" fontId="10" fillId="4" borderId="48" xfId="0" applyFont="1" applyFill="1" applyBorder="1" applyAlignment="1">
      <alignment horizontal="right" vertical="center" wrapText="1"/>
    </xf>
    <xf numFmtId="3" fontId="9" fillId="4" borderId="0" xfId="0" applyNumberFormat="1" applyFont="1" applyFill="1" applyAlignment="1">
      <alignment horizontal="right" vertical="center" wrapText="1"/>
    </xf>
    <xf numFmtId="165" fontId="9" fillId="4" borderId="48" xfId="0" applyNumberFormat="1" applyFont="1" applyFill="1" applyBorder="1" applyAlignment="1">
      <alignment horizontal="right" vertical="center" wrapText="1"/>
    </xf>
    <xf numFmtId="3" fontId="10" fillId="4" borderId="0" xfId="0" applyNumberFormat="1" applyFont="1" applyFill="1" applyAlignment="1">
      <alignment horizontal="right" vertical="center" wrapText="1"/>
    </xf>
    <xf numFmtId="164" fontId="9" fillId="4" borderId="47" xfId="0" applyNumberFormat="1" applyFont="1" applyFill="1" applyBorder="1" applyAlignment="1">
      <alignment horizontal="right" vertical="center" wrapText="1"/>
    </xf>
    <xf numFmtId="0" fontId="10" fillId="4" borderId="49" xfId="0" applyFont="1" applyFill="1" applyBorder="1" applyAlignment="1">
      <alignment vertical="center" wrapText="1"/>
    </xf>
    <xf numFmtId="164" fontId="10" fillId="4" borderId="50" xfId="0" applyNumberFormat="1" applyFont="1" applyFill="1" applyBorder="1" applyAlignment="1">
      <alignment horizontal="right" vertical="center" wrapText="1"/>
    </xf>
    <xf numFmtId="165" fontId="10" fillId="4" borderId="51" xfId="0" applyNumberFormat="1" applyFont="1" applyFill="1" applyBorder="1" applyAlignment="1">
      <alignment horizontal="right" vertical="center" wrapText="1"/>
    </xf>
    <xf numFmtId="3" fontId="10" fillId="4" borderId="49" xfId="0" applyNumberFormat="1" applyFont="1" applyFill="1" applyBorder="1" applyAlignment="1">
      <alignment horizontal="right" vertical="center" wrapText="1"/>
    </xf>
    <xf numFmtId="0" fontId="10" fillId="4" borderId="52" xfId="0" applyFont="1" applyFill="1" applyBorder="1" applyAlignment="1">
      <alignment vertical="center" wrapText="1"/>
    </xf>
    <xf numFmtId="164" fontId="10" fillId="4" borderId="53" xfId="0" applyNumberFormat="1" applyFont="1" applyFill="1" applyBorder="1" applyAlignment="1">
      <alignment horizontal="right" vertical="center" wrapText="1"/>
    </xf>
    <xf numFmtId="165" fontId="10" fillId="4" borderId="54" xfId="0" applyNumberFormat="1" applyFont="1" applyFill="1" applyBorder="1" applyAlignment="1">
      <alignment horizontal="right" vertical="center" wrapText="1"/>
    </xf>
    <xf numFmtId="3" fontId="10" fillId="4" borderId="52" xfId="0" applyNumberFormat="1" applyFont="1" applyFill="1" applyBorder="1" applyAlignment="1">
      <alignment horizontal="right" vertical="center" wrapText="1"/>
    </xf>
    <xf numFmtId="0" fontId="55" fillId="5" borderId="0" xfId="0" applyFont="1" applyFill="1" applyBorder="1" applyAlignment="1">
      <alignment vertical="center"/>
    </xf>
    <xf numFmtId="0" fontId="54" fillId="4" borderId="5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7" fillId="5" borderId="0" xfId="0" applyFont="1" applyFill="1" applyAlignment="1">
      <alignment horizontal="left"/>
    </xf>
    <xf numFmtId="0" fontId="15" fillId="4" borderId="15" xfId="0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right" vertical="center" wrapText="1" indent="1"/>
    </xf>
    <xf numFmtId="0" fontId="10" fillId="4" borderId="26" xfId="0" applyFont="1" applyFill="1" applyBorder="1" applyAlignment="1">
      <alignment vertical="center" wrapText="1"/>
    </xf>
    <xf numFmtId="164" fontId="10" fillId="4" borderId="27" xfId="0" applyNumberFormat="1" applyFont="1" applyFill="1" applyBorder="1" applyAlignment="1">
      <alignment horizontal="right" vertical="center" wrapText="1" indent="1"/>
    </xf>
    <xf numFmtId="3" fontId="10" fillId="4" borderId="28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horizontal="right" vertical="center" wrapText="1" indent="1"/>
    </xf>
    <xf numFmtId="0" fontId="55" fillId="6" borderId="0" xfId="0" applyFont="1" applyFill="1" applyAlignment="1">
      <alignment vertical="center"/>
    </xf>
    <xf numFmtId="0" fontId="58" fillId="6" borderId="0" xfId="0" applyFont="1" applyFill="1" applyAlignment="1">
      <alignment vertical="center" wrapText="1"/>
    </xf>
    <xf numFmtId="0" fontId="9" fillId="4" borderId="68" xfId="0" applyFont="1" applyFill="1" applyBorder="1" applyAlignment="1">
      <alignment horizontal="center" vertical="center" wrapText="1"/>
    </xf>
    <xf numFmtId="164" fontId="10" fillId="4" borderId="53" xfId="0" applyNumberFormat="1" applyFont="1" applyFill="1" applyBorder="1" applyAlignment="1">
      <alignment vertical="center" wrapText="1"/>
    </xf>
    <xf numFmtId="1" fontId="10" fillId="4" borderId="54" xfId="0" applyNumberFormat="1" applyFont="1" applyFill="1" applyBorder="1" applyAlignment="1">
      <alignment vertical="center" wrapText="1"/>
    </xf>
    <xf numFmtId="1" fontId="10" fillId="4" borderId="69" xfId="0" applyNumberFormat="1" applyFont="1" applyFill="1" applyBorder="1" applyAlignment="1">
      <alignment vertical="center" wrapText="1"/>
    </xf>
    <xf numFmtId="1" fontId="10" fillId="4" borderId="52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55" fillId="6" borderId="0" xfId="0" applyFont="1" applyFill="1" applyBorder="1" applyAlignment="1">
      <alignment vertical="center"/>
    </xf>
    <xf numFmtId="0" fontId="48" fillId="5" borderId="0" xfId="0" applyFont="1" applyFill="1" applyAlignment="1">
      <alignment vertical="center"/>
    </xf>
    <xf numFmtId="0" fontId="0" fillId="0" borderId="0" xfId="0"/>
    <xf numFmtId="0" fontId="57" fillId="5" borderId="0" xfId="0" applyFont="1" applyFill="1"/>
    <xf numFmtId="0" fontId="9" fillId="4" borderId="0" xfId="0" applyFont="1" applyFill="1" applyAlignment="1">
      <alignment horizontal="left" vertical="center" wrapText="1" indent="1"/>
    </xf>
    <xf numFmtId="165" fontId="9" fillId="3" borderId="17" xfId="0" applyNumberFormat="1" applyFont="1" applyFill="1" applyBorder="1" applyAlignment="1">
      <alignment horizontal="right" vertical="center" wrapText="1" indent="1"/>
    </xf>
    <xf numFmtId="0" fontId="10" fillId="4" borderId="16" xfId="0" applyFont="1" applyFill="1" applyBorder="1" applyAlignment="1">
      <alignment vertical="center" wrapText="1"/>
    </xf>
    <xf numFmtId="164" fontId="10" fillId="4" borderId="24" xfId="0" applyNumberFormat="1" applyFont="1" applyFill="1" applyBorder="1" applyAlignment="1">
      <alignment horizontal="right" vertical="center" wrapText="1" indent="1"/>
    </xf>
    <xf numFmtId="165" fontId="10" fillId="3" borderId="15" xfId="0" applyNumberFormat="1" applyFont="1" applyFill="1" applyBorder="1" applyAlignment="1">
      <alignment horizontal="right" vertical="center" wrapText="1" indent="1"/>
    </xf>
    <xf numFmtId="3" fontId="9" fillId="4" borderId="16" xfId="0" applyNumberFormat="1" applyFont="1" applyFill="1" applyBorder="1" applyAlignment="1">
      <alignment horizontal="right" vertical="center" wrapText="1" indent="1"/>
    </xf>
    <xf numFmtId="164" fontId="10" fillId="4" borderId="25" xfId="0" applyNumberFormat="1" applyFont="1" applyFill="1" applyBorder="1" applyAlignment="1">
      <alignment horizontal="right" vertical="center" wrapText="1" indent="1"/>
    </xf>
    <xf numFmtId="165" fontId="10" fillId="3" borderId="17" xfId="0" applyNumberFormat="1" applyFont="1" applyFill="1" applyBorder="1" applyAlignment="1">
      <alignment horizontal="right" vertical="center" wrapText="1" indent="1"/>
    </xf>
    <xf numFmtId="3" fontId="10" fillId="4" borderId="0" xfId="0" applyNumberFormat="1" applyFont="1" applyFill="1" applyAlignment="1">
      <alignment horizontal="right" vertical="center" wrapText="1" indent="1"/>
    </xf>
    <xf numFmtId="1" fontId="10" fillId="3" borderId="28" xfId="0" applyNumberFormat="1" applyFont="1" applyFill="1" applyBorder="1" applyAlignment="1">
      <alignment horizontal="right" vertical="center" wrapText="1" indent="1"/>
    </xf>
    <xf numFmtId="1" fontId="10" fillId="4" borderId="26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4" borderId="29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right" vertical="center" wrapText="1" indent="1"/>
    </xf>
    <xf numFmtId="49" fontId="10" fillId="4" borderId="29" xfId="0" applyNumberFormat="1" applyFont="1" applyFill="1" applyBorder="1" applyAlignment="1">
      <alignment horizontal="right" vertical="center" wrapText="1" indent="1"/>
    </xf>
    <xf numFmtId="0" fontId="15" fillId="4" borderId="31" xfId="0" applyFont="1" applyFill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right" vertical="center" wrapText="1" indent="1"/>
    </xf>
    <xf numFmtId="3" fontId="9" fillId="4" borderId="25" xfId="0" applyNumberFormat="1" applyFont="1" applyFill="1" applyBorder="1" applyAlignment="1">
      <alignment horizontal="right" vertical="center" wrapText="1" indent="1"/>
    </xf>
    <xf numFmtId="0" fontId="10" fillId="4" borderId="19" xfId="0" applyFont="1" applyFill="1" applyBorder="1" applyAlignment="1">
      <alignment vertical="center" wrapText="1"/>
    </xf>
    <xf numFmtId="165" fontId="10" fillId="4" borderId="70" xfId="2" applyNumberFormat="1" applyFont="1" applyFill="1" applyBorder="1" applyAlignment="1">
      <alignment horizontal="right" vertical="center" wrapText="1" indent="1"/>
    </xf>
    <xf numFmtId="165" fontId="10" fillId="4" borderId="19" xfId="2" applyNumberFormat="1" applyFont="1" applyFill="1" applyBorder="1" applyAlignment="1">
      <alignment horizontal="right" vertical="center" wrapText="1" indent="1"/>
    </xf>
    <xf numFmtId="3" fontId="10" fillId="4" borderId="70" xfId="0" applyNumberFormat="1" applyFont="1" applyFill="1" applyBorder="1" applyAlignment="1">
      <alignment horizontal="right" vertical="center" wrapText="1" indent="1"/>
    </xf>
    <xf numFmtId="165" fontId="10" fillId="4" borderId="27" xfId="2" applyNumberFormat="1" applyFont="1" applyFill="1" applyBorder="1" applyAlignment="1">
      <alignment horizontal="right" vertical="center" wrapText="1" indent="1"/>
    </xf>
    <xf numFmtId="165" fontId="10" fillId="4" borderId="26" xfId="2" applyNumberFormat="1" applyFont="1" applyFill="1" applyBorder="1" applyAlignment="1">
      <alignment horizontal="right" vertical="center" wrapText="1" indent="1"/>
    </xf>
    <xf numFmtId="1" fontId="10" fillId="4" borderId="27" xfId="0" applyNumberFormat="1" applyFont="1" applyFill="1" applyBorder="1" applyAlignment="1">
      <alignment horizontal="right" vertical="center" wrapText="1" indent="1"/>
    </xf>
    <xf numFmtId="0" fontId="59" fillId="4" borderId="4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45" xfId="0" applyFont="1" applyFill="1" applyBorder="1" applyAlignment="1">
      <alignment horizontal="center" vertical="center" wrapText="1"/>
    </xf>
    <xf numFmtId="164" fontId="9" fillId="4" borderId="47" xfId="0" applyNumberFormat="1" applyFont="1" applyFill="1" applyBorder="1" applyAlignment="1">
      <alignment horizontal="right" vertical="center" wrapText="1" indent="1"/>
    </xf>
    <xf numFmtId="164" fontId="10" fillId="4" borderId="0" xfId="0" applyNumberFormat="1" applyFont="1" applyFill="1" applyAlignment="1">
      <alignment horizontal="right" vertical="center" wrapText="1" indent="1"/>
    </xf>
    <xf numFmtId="0" fontId="10" fillId="4" borderId="64" xfId="0" applyFont="1" applyFill="1" applyBorder="1" applyAlignment="1">
      <alignment vertical="center" wrapText="1"/>
    </xf>
    <xf numFmtId="49" fontId="10" fillId="4" borderId="56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60" fillId="2" borderId="0" xfId="0" applyFont="1" applyFill="1" applyAlignment="1">
      <alignment vertical="center" wrapText="1"/>
    </xf>
    <xf numFmtId="0" fontId="60" fillId="2" borderId="26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48" fillId="5" borderId="0" xfId="0" applyFont="1" applyFill="1" applyAlignment="1">
      <alignment horizontal="left" vertical="center"/>
    </xf>
    <xf numFmtId="0" fontId="38" fillId="0" borderId="0" xfId="7" applyFont="1" applyFill="1"/>
    <xf numFmtId="0" fontId="3" fillId="0" borderId="0" xfId="0" applyFont="1" applyBorder="1" applyAlignment="1">
      <alignment vertical="center"/>
    </xf>
    <xf numFmtId="0" fontId="40" fillId="0" borderId="0" xfId="0" applyFont="1"/>
    <xf numFmtId="0" fontId="2" fillId="0" borderId="0" xfId="0" applyFont="1" applyFill="1" applyBorder="1"/>
    <xf numFmtId="0" fontId="29" fillId="0" borderId="0" xfId="0" applyFont="1" applyAlignment="1">
      <alignment vertical="center"/>
    </xf>
    <xf numFmtId="0" fontId="9" fillId="4" borderId="8" xfId="0" applyFont="1" applyFill="1" applyBorder="1" applyAlignment="1">
      <alignment vertical="center" wrapText="1"/>
    </xf>
    <xf numFmtId="49" fontId="15" fillId="4" borderId="77" xfId="0" applyNumberFormat="1" applyFont="1" applyFill="1" applyBorder="1" applyAlignment="1">
      <alignment horizontal="center" vertical="center" wrapText="1"/>
    </xf>
    <xf numFmtId="49" fontId="15" fillId="4" borderId="78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64" fontId="15" fillId="4" borderId="79" xfId="0" applyNumberFormat="1" applyFont="1" applyFill="1" applyBorder="1" applyAlignment="1">
      <alignment horizontal="right" vertical="center" wrapText="1" indent="1"/>
    </xf>
    <xf numFmtId="164" fontId="15" fillId="4" borderId="8" xfId="0" applyNumberFormat="1" applyFont="1" applyFill="1" applyBorder="1" applyAlignment="1">
      <alignment horizontal="right" vertical="center" wrapText="1" indent="1"/>
    </xf>
    <xf numFmtId="1" fontId="15" fillId="4" borderId="8" xfId="0" applyNumberFormat="1" applyFont="1" applyFill="1" applyBorder="1" applyAlignment="1">
      <alignment horizontal="right" vertical="center" wrapText="1" indent="1"/>
    </xf>
    <xf numFmtId="1" fontId="15" fillId="4" borderId="2" xfId="0" applyNumberFormat="1" applyFont="1" applyFill="1" applyBorder="1" applyAlignment="1">
      <alignment horizontal="right" vertical="center" wrapText="1" indent="1"/>
    </xf>
    <xf numFmtId="1" fontId="15" fillId="4" borderId="0" xfId="0" applyNumberFormat="1" applyFont="1" applyFill="1" applyAlignment="1">
      <alignment horizontal="right" vertical="center" wrapText="1" indent="1"/>
    </xf>
    <xf numFmtId="164" fontId="15" fillId="4" borderId="80" xfId="0" applyNumberFormat="1" applyFont="1" applyFill="1" applyBorder="1" applyAlignment="1">
      <alignment horizontal="right" vertical="center" wrapText="1" indent="1"/>
    </xf>
    <xf numFmtId="164" fontId="15" fillId="4" borderId="0" xfId="0" applyNumberFormat="1" applyFont="1" applyFill="1" applyAlignment="1">
      <alignment horizontal="right" vertical="center" wrapText="1" indent="1"/>
    </xf>
    <xf numFmtId="0" fontId="18" fillId="4" borderId="26" xfId="0" applyFont="1" applyFill="1" applyBorder="1" applyAlignment="1">
      <alignment vertical="center" wrapText="1"/>
    </xf>
    <xf numFmtId="164" fontId="18" fillId="4" borderId="81" xfId="0" applyNumberFormat="1" applyFont="1" applyFill="1" applyBorder="1" applyAlignment="1">
      <alignment horizontal="right" vertical="center" wrapText="1" indent="1"/>
    </xf>
    <xf numFmtId="164" fontId="18" fillId="4" borderId="26" xfId="0" applyNumberFormat="1" applyFont="1" applyFill="1" applyBorder="1" applyAlignment="1">
      <alignment horizontal="right" vertical="center" wrapText="1" indent="1"/>
    </xf>
    <xf numFmtId="164" fontId="18" fillId="4" borderId="27" xfId="0" applyNumberFormat="1" applyFont="1" applyFill="1" applyBorder="1" applyAlignment="1">
      <alignment horizontal="right" vertical="center" wrapText="1" indent="1"/>
    </xf>
    <xf numFmtId="0" fontId="57" fillId="5" borderId="0" xfId="0" applyFont="1" applyFill="1" applyBorder="1" applyAlignment="1">
      <alignment horizontal="left"/>
    </xf>
    <xf numFmtId="49" fontId="18" fillId="4" borderId="76" xfId="0" applyNumberFormat="1" applyFont="1" applyFill="1" applyBorder="1" applyAlignment="1">
      <alignment horizontal="center" vertical="center" wrapText="1"/>
    </xf>
    <xf numFmtId="49" fontId="18" fillId="4" borderId="7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8" fillId="5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3" fillId="0" borderId="0" xfId="0" applyFont="1"/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64" fontId="9" fillId="4" borderId="56" xfId="0" applyNumberFormat="1" applyFont="1" applyFill="1" applyBorder="1" applyAlignment="1">
      <alignment horizontal="right" vertical="center" wrapText="1"/>
    </xf>
    <xf numFmtId="0" fontId="59" fillId="4" borderId="0" xfId="0" applyFont="1" applyFill="1" applyBorder="1" applyAlignment="1">
      <alignment vertical="center" wrapText="1"/>
    </xf>
    <xf numFmtId="0" fontId="65" fillId="4" borderId="0" xfId="0" applyFont="1" applyFill="1" applyBorder="1" applyAlignment="1">
      <alignment vertical="center" wrapText="1"/>
    </xf>
    <xf numFmtId="164" fontId="9" fillId="4" borderId="0" xfId="2" applyNumberFormat="1" applyFont="1" applyFill="1" applyBorder="1" applyAlignment="1">
      <alignment horizontal="right" vertical="center" wrapText="1"/>
    </xf>
    <xf numFmtId="0" fontId="59" fillId="4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6" borderId="0" xfId="0" applyFont="1" applyFill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4" borderId="0" xfId="0" applyFont="1" applyFill="1" applyAlignment="1">
      <alignment vertical="center" wrapText="1"/>
    </xf>
    <xf numFmtId="0" fontId="38" fillId="0" borderId="0" xfId="0" applyFont="1" applyBorder="1"/>
    <xf numFmtId="3" fontId="10" fillId="4" borderId="64" xfId="2" applyNumberFormat="1" applyFont="1" applyFill="1" applyBorder="1" applyAlignment="1">
      <alignment vertical="center" wrapText="1"/>
    </xf>
    <xf numFmtId="1" fontId="10" fillId="4" borderId="64" xfId="0" applyNumberFormat="1" applyFont="1" applyFill="1" applyBorder="1" applyAlignment="1">
      <alignment horizontal="right" vertical="center" wrapText="1"/>
    </xf>
    <xf numFmtId="0" fontId="59" fillId="4" borderId="62" xfId="0" applyFont="1" applyFill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 wrapText="1"/>
    </xf>
    <xf numFmtId="3" fontId="9" fillId="4" borderId="56" xfId="0" applyNumberFormat="1" applyFont="1" applyFill="1" applyBorder="1" applyAlignment="1">
      <alignment horizontal="right" vertical="center" wrapText="1"/>
    </xf>
    <xf numFmtId="3" fontId="10" fillId="4" borderId="65" xfId="2" applyNumberFormat="1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164" fontId="9" fillId="4" borderId="25" xfId="0" applyNumberFormat="1" applyFont="1" applyFill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right" vertical="center" wrapText="1"/>
    </xf>
    <xf numFmtId="164" fontId="9" fillId="4" borderId="25" xfId="0" applyNumberFormat="1" applyFont="1" applyFill="1" applyBorder="1" applyAlignment="1">
      <alignment horizontal="right" vertical="top" wrapText="1"/>
    </xf>
    <xf numFmtId="164" fontId="9" fillId="4" borderId="17" xfId="0" applyNumberFormat="1" applyFont="1" applyFill="1" applyBorder="1" applyAlignment="1">
      <alignment horizontal="right" vertical="top" wrapText="1"/>
    </xf>
    <xf numFmtId="0" fontId="10" fillId="4" borderId="28" xfId="0" applyFont="1" applyFill="1" applyBorder="1" applyAlignment="1">
      <alignment vertical="center" wrapText="1"/>
    </xf>
    <xf numFmtId="164" fontId="10" fillId="4" borderId="27" xfId="2" applyNumberFormat="1" applyFont="1" applyFill="1" applyBorder="1" applyAlignment="1">
      <alignment vertical="center" wrapText="1"/>
    </xf>
    <xf numFmtId="164" fontId="10" fillId="4" borderId="28" xfId="2" applyNumberFormat="1" applyFont="1" applyFill="1" applyBorder="1" applyAlignment="1">
      <alignment vertical="center" wrapText="1"/>
    </xf>
    <xf numFmtId="3" fontId="10" fillId="4" borderId="26" xfId="2" applyNumberFormat="1" applyFont="1" applyFill="1" applyBorder="1" applyAlignment="1">
      <alignment horizontal="right" vertical="center" wrapText="1"/>
    </xf>
    <xf numFmtId="1" fontId="10" fillId="4" borderId="26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164" fontId="5" fillId="4" borderId="84" xfId="0" applyNumberFormat="1" applyFont="1" applyFill="1" applyBorder="1" applyAlignment="1">
      <alignment horizontal="right" vertical="center" wrapText="1" indent="1"/>
    </xf>
    <xf numFmtId="164" fontId="2" fillId="4" borderId="84" xfId="0" applyNumberFormat="1" applyFont="1" applyFill="1" applyBorder="1" applyAlignment="1">
      <alignment horizontal="right" vertical="center" wrapText="1" indent="1"/>
    </xf>
    <xf numFmtId="3" fontId="5" fillId="4" borderId="0" xfId="0" applyNumberFormat="1" applyFont="1" applyFill="1" applyAlignment="1">
      <alignment horizontal="right" vertical="center" wrapText="1" indent="1"/>
    </xf>
    <xf numFmtId="0" fontId="22" fillId="4" borderId="16" xfId="0" applyFont="1" applyFill="1" applyBorder="1" applyAlignment="1">
      <alignment horizontal="right" vertical="center" wrapText="1"/>
    </xf>
    <xf numFmtId="0" fontId="22" fillId="4" borderId="16" xfId="0" applyFont="1" applyFill="1" applyBorder="1" applyAlignment="1">
      <alignment horizontal="left" vertical="center" wrapText="1"/>
    </xf>
    <xf numFmtId="164" fontId="22" fillId="4" borderId="37" xfId="0" applyNumberFormat="1" applyFont="1" applyFill="1" applyBorder="1" applyAlignment="1">
      <alignment horizontal="right" vertical="center" wrapText="1" indent="1"/>
    </xf>
    <xf numFmtId="164" fontId="23" fillId="4" borderId="37" xfId="0" applyNumberFormat="1" applyFont="1" applyFill="1" applyBorder="1" applyAlignment="1">
      <alignment horizontal="right" vertical="center" wrapText="1" indent="1"/>
    </xf>
    <xf numFmtId="3" fontId="22" fillId="4" borderId="16" xfId="0" applyNumberFormat="1" applyFont="1" applyFill="1" applyBorder="1" applyAlignment="1">
      <alignment horizontal="right" vertical="center" wrapText="1" indent="1"/>
    </xf>
    <xf numFmtId="0" fontId="22" fillId="4" borderId="16" xfId="0" applyFont="1" applyFill="1" applyBorder="1" applyAlignment="1">
      <alignment vertical="center" wrapText="1"/>
    </xf>
    <xf numFmtId="164" fontId="5" fillId="4" borderId="84" xfId="2" applyNumberFormat="1" applyFont="1" applyFill="1" applyBorder="1" applyAlignment="1">
      <alignment horizontal="right" vertical="center" wrapText="1" indent="1"/>
    </xf>
    <xf numFmtId="0" fontId="22" fillId="4" borderId="26" xfId="0" applyFont="1" applyFill="1" applyBorder="1" applyAlignment="1">
      <alignment horizontal="right" vertical="center" wrapText="1"/>
    </xf>
    <xf numFmtId="0" fontId="22" fillId="4" borderId="26" xfId="0" applyFont="1" applyFill="1" applyBorder="1" applyAlignment="1">
      <alignment vertical="center" wrapText="1"/>
    </xf>
    <xf numFmtId="164" fontId="22" fillId="4" borderId="85" xfId="2" applyNumberFormat="1" applyFont="1" applyFill="1" applyBorder="1" applyAlignment="1">
      <alignment horizontal="right" vertical="center" wrapText="1" indent="1"/>
    </xf>
    <xf numFmtId="1" fontId="22" fillId="4" borderId="26" xfId="0" applyNumberFormat="1" applyFont="1" applyFill="1" applyBorder="1" applyAlignment="1">
      <alignment horizontal="right" vertical="center" wrapText="1" indent="1"/>
    </xf>
    <xf numFmtId="0" fontId="5" fillId="4" borderId="16" xfId="0" applyFont="1" applyFill="1" applyBorder="1" applyAlignment="1">
      <alignment horizontal="center" vertical="center" wrapText="1"/>
    </xf>
    <xf numFmtId="49" fontId="22" fillId="4" borderId="37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vertical="top" wrapText="1"/>
    </xf>
    <xf numFmtId="0" fontId="23" fillId="4" borderId="25" xfId="0" applyFont="1" applyFill="1" applyBorder="1" applyAlignment="1">
      <alignment horizontal="right" vertical="center" wrapText="1" indent="1"/>
    </xf>
    <xf numFmtId="0" fontId="23" fillId="3" borderId="17" xfId="0" applyFont="1" applyFill="1" applyBorder="1" applyAlignment="1">
      <alignment horizontal="right" vertical="center" wrapText="1" indent="1"/>
    </xf>
    <xf numFmtId="0" fontId="23" fillId="4" borderId="0" xfId="0" applyFont="1" applyFill="1" applyAlignment="1">
      <alignment horizontal="right" vertical="center" wrapText="1" indent="1"/>
    </xf>
    <xf numFmtId="0" fontId="2" fillId="4" borderId="0" xfId="0" applyFont="1" applyFill="1" applyAlignment="1">
      <alignment vertical="top" wrapText="1"/>
    </xf>
    <xf numFmtId="164" fontId="5" fillId="4" borderId="25" xfId="0" applyNumberFormat="1" applyFont="1" applyFill="1" applyBorder="1" applyAlignment="1">
      <alignment horizontal="right" vertical="center" wrapText="1" indent="1"/>
    </xf>
    <xf numFmtId="165" fontId="2" fillId="3" borderId="17" xfId="0" applyNumberFormat="1" applyFont="1" applyFill="1" applyBorder="1" applyAlignment="1">
      <alignment horizontal="right" vertical="center" wrapText="1" indent="1"/>
    </xf>
    <xf numFmtId="1" fontId="2" fillId="4" borderId="0" xfId="0" applyNumberFormat="1" applyFont="1" applyFill="1" applyAlignment="1">
      <alignment horizontal="right" vertical="center" wrapText="1" indent="1"/>
    </xf>
    <xf numFmtId="164" fontId="23" fillId="4" borderId="25" xfId="0" applyNumberFormat="1" applyFont="1" applyFill="1" applyBorder="1" applyAlignment="1">
      <alignment horizontal="right" vertical="center" wrapText="1" indent="1"/>
    </xf>
    <xf numFmtId="1" fontId="23" fillId="3" borderId="17" xfId="0" applyNumberFormat="1" applyFont="1" applyFill="1" applyBorder="1" applyAlignment="1">
      <alignment horizontal="right" vertical="center" wrapText="1" indent="1"/>
    </xf>
    <xf numFmtId="164" fontId="2" fillId="4" borderId="25" xfId="0" applyNumberFormat="1" applyFont="1" applyFill="1" applyBorder="1" applyAlignment="1">
      <alignment horizontal="right" vertical="center" wrapText="1" indent="1"/>
    </xf>
    <xf numFmtId="0" fontId="2" fillId="3" borderId="17" xfId="0" applyFont="1" applyFill="1" applyBorder="1" applyAlignment="1">
      <alignment horizontal="right" vertical="center" wrapText="1" indent="1"/>
    </xf>
    <xf numFmtId="0" fontId="5" fillId="3" borderId="17" xfId="0" applyFont="1" applyFill="1" applyBorder="1" applyAlignment="1">
      <alignment horizontal="right" vertical="center" wrapText="1" indent="1"/>
    </xf>
    <xf numFmtId="0" fontId="23" fillId="4" borderId="19" xfId="0" applyFont="1" applyFill="1" applyBorder="1" applyAlignment="1">
      <alignment vertical="top" wrapText="1"/>
    </xf>
    <xf numFmtId="164" fontId="23" fillId="4" borderId="70" xfId="0" applyNumberFormat="1" applyFont="1" applyFill="1" applyBorder="1" applyAlignment="1">
      <alignment horizontal="right" vertical="center" wrapText="1" indent="1"/>
    </xf>
    <xf numFmtId="0" fontId="23" fillId="3" borderId="18" xfId="0" applyFont="1" applyFill="1" applyBorder="1" applyAlignment="1">
      <alignment horizontal="right" vertical="center" wrapText="1" indent="1"/>
    </xf>
    <xf numFmtId="1" fontId="2" fillId="4" borderId="19" xfId="0" applyNumberFormat="1" applyFont="1" applyFill="1" applyBorder="1" applyAlignment="1">
      <alignment horizontal="right" vertical="center" wrapText="1" indent="1"/>
    </xf>
    <xf numFmtId="0" fontId="23" fillId="4" borderId="21" xfId="0" applyFont="1" applyFill="1" applyBorder="1" applyAlignment="1">
      <alignment vertical="top" wrapText="1"/>
    </xf>
    <xf numFmtId="164" fontId="23" fillId="4" borderId="38" xfId="0" applyNumberFormat="1" applyFont="1" applyFill="1" applyBorder="1" applyAlignment="1">
      <alignment horizontal="right" vertical="center" wrapText="1" indent="1"/>
    </xf>
    <xf numFmtId="0" fontId="23" fillId="3" borderId="20" xfId="0" applyFont="1" applyFill="1" applyBorder="1" applyAlignment="1">
      <alignment horizontal="right" vertical="center" wrapText="1" indent="1"/>
    </xf>
    <xf numFmtId="0" fontId="23" fillId="4" borderId="21" xfId="0" applyFont="1" applyFill="1" applyBorder="1" applyAlignment="1">
      <alignment horizontal="right" vertical="center" wrapText="1" inden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19" fillId="4" borderId="91" xfId="7" applyNumberFormat="1" applyFont="1" applyFill="1" applyBorder="1" applyAlignment="1">
      <alignment horizontal="center" vertical="center" wrapText="1"/>
    </xf>
    <xf numFmtId="0" fontId="19" fillId="4" borderId="92" xfId="7" applyFont="1" applyFill="1" applyBorder="1" applyAlignment="1">
      <alignment horizontal="center" vertical="center" wrapText="1"/>
    </xf>
    <xf numFmtId="14" fontId="19" fillId="4" borderId="92" xfId="7" applyNumberFormat="1" applyFont="1" applyFill="1" applyBorder="1" applyAlignment="1">
      <alignment horizontal="center" vertical="center" wrapText="1"/>
    </xf>
    <xf numFmtId="0" fontId="68" fillId="4" borderId="49" xfId="7" applyFont="1" applyFill="1" applyBorder="1" applyAlignment="1">
      <alignment vertical="center" wrapText="1"/>
    </xf>
    <xf numFmtId="49" fontId="68" fillId="4" borderId="0" xfId="7" applyNumberFormat="1" applyFont="1" applyFill="1" applyAlignment="1">
      <alignment horizontal="left" wrapText="1"/>
    </xf>
    <xf numFmtId="49" fontId="47" fillId="4" borderId="0" xfId="7" applyNumberFormat="1" applyFont="1" applyFill="1" applyAlignment="1">
      <alignment horizontal="left" vertical="center" wrapText="1"/>
    </xf>
    <xf numFmtId="49" fontId="69" fillId="4" borderId="0" xfId="7" applyNumberFormat="1" applyFont="1" applyFill="1" applyAlignment="1">
      <alignment horizontal="left" vertical="center" wrapText="1"/>
    </xf>
    <xf numFmtId="49" fontId="47" fillId="4" borderId="6" xfId="7" applyNumberFormat="1" applyFont="1" applyFill="1" applyBorder="1" applyAlignment="1">
      <alignment horizontal="left" vertical="center" wrapText="1"/>
    </xf>
    <xf numFmtId="49" fontId="68" fillId="4" borderId="8" xfId="7" applyNumberFormat="1" applyFont="1" applyFill="1" applyBorder="1" applyAlignment="1">
      <alignment horizontal="left" vertical="center" wrapText="1"/>
    </xf>
    <xf numFmtId="0" fontId="47" fillId="4" borderId="0" xfId="7" applyFont="1" applyFill="1" applyAlignment="1">
      <alignment horizontal="left" vertical="center" wrapText="1"/>
    </xf>
    <xf numFmtId="0" fontId="19" fillId="4" borderId="97" xfId="7" applyFont="1" applyFill="1" applyBorder="1" applyAlignment="1">
      <alignment horizontal="left" vertical="center" wrapText="1"/>
    </xf>
    <xf numFmtId="0" fontId="40" fillId="0" borderId="0" xfId="7" applyFont="1" applyFill="1"/>
    <xf numFmtId="0" fontId="24" fillId="0" borderId="0" xfId="7" applyFill="1" applyAlignment="1">
      <alignment horizontal="right" vertical="center"/>
    </xf>
    <xf numFmtId="0" fontId="48" fillId="5" borderId="43" xfId="7" applyFont="1" applyFill="1" applyBorder="1" applyAlignment="1">
      <alignment vertical="center"/>
    </xf>
    <xf numFmtId="0" fontId="19" fillId="4" borderId="100" xfId="7" applyFont="1" applyFill="1" applyBorder="1" applyAlignment="1">
      <alignment horizontal="center" vertical="center" wrapText="1"/>
    </xf>
    <xf numFmtId="0" fontId="72" fillId="0" borderId="0" xfId="7" applyFont="1"/>
    <xf numFmtId="0" fontId="48" fillId="5" borderId="0" xfId="7" applyFont="1" applyFill="1" applyAlignment="1">
      <alignment vertical="center"/>
    </xf>
    <xf numFmtId="49" fontId="47" fillId="4" borderId="0" xfId="7" applyNumberFormat="1" applyFont="1" applyFill="1" applyAlignment="1">
      <alignment horizontal="left" vertical="center" wrapText="1" indent="1"/>
    </xf>
    <xf numFmtId="164" fontId="7" fillId="4" borderId="80" xfId="7" applyNumberFormat="1" applyFont="1" applyFill="1" applyBorder="1" applyAlignment="1">
      <alignment horizontal="right" vertical="center" wrapText="1" indent="1"/>
    </xf>
    <xf numFmtId="164" fontId="7" fillId="4" borderId="0" xfId="7" applyNumberFormat="1" applyFont="1" applyFill="1" applyAlignment="1">
      <alignment horizontal="right" vertical="center" wrapText="1" indent="1"/>
    </xf>
    <xf numFmtId="164" fontId="7" fillId="4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49" fontId="47" fillId="4" borderId="99" xfId="7" applyNumberFormat="1" applyFont="1" applyFill="1" applyBorder="1" applyAlignment="1">
      <alignment horizontal="left" vertical="center" wrapText="1" indent="1"/>
    </xf>
    <xf numFmtId="164" fontId="19" fillId="4" borderId="98" xfId="7" applyNumberFormat="1" applyFont="1" applyFill="1" applyBorder="1" applyAlignment="1">
      <alignment horizontal="right" vertical="center" wrapText="1" indent="1"/>
    </xf>
    <xf numFmtId="164" fontId="19" fillId="4" borderId="97" xfId="7" applyNumberFormat="1" applyFont="1" applyFill="1" applyBorder="1" applyAlignment="1">
      <alignment horizontal="right" vertical="center" wrapText="1" indent="1"/>
    </xf>
    <xf numFmtId="164" fontId="19" fillId="3" borderId="97" xfId="7" applyNumberFormat="1" applyFont="1" applyFill="1" applyBorder="1" applyAlignment="1">
      <alignment horizontal="right" vertical="center" wrapText="1" indent="1"/>
    </xf>
    <xf numFmtId="49" fontId="10" fillId="4" borderId="24" xfId="0" applyNumberFormat="1" applyFont="1" applyFill="1" applyBorder="1" applyAlignment="1">
      <alignment horizontal="right" vertical="center" wrapText="1" indent="1"/>
    </xf>
    <xf numFmtId="49" fontId="10" fillId="4" borderId="16" xfId="0" applyNumberFormat="1" applyFont="1" applyFill="1" applyBorder="1" applyAlignment="1">
      <alignment horizontal="right" vertical="center" wrapText="1" indent="1"/>
    </xf>
    <xf numFmtId="165" fontId="9" fillId="4" borderId="25" xfId="0" applyNumberFormat="1" applyFont="1" applyFill="1" applyBorder="1" applyAlignment="1">
      <alignment horizontal="right" vertical="center" wrapText="1" indent="1"/>
    </xf>
    <xf numFmtId="165" fontId="9" fillId="4" borderId="0" xfId="0" applyNumberFormat="1" applyFont="1" applyFill="1" applyAlignment="1">
      <alignment horizontal="right" vertical="center" wrapText="1" indent="1"/>
    </xf>
    <xf numFmtId="165" fontId="9" fillId="4" borderId="38" xfId="0" applyNumberFormat="1" applyFont="1" applyFill="1" applyBorder="1" applyAlignment="1">
      <alignment horizontal="right" vertical="center" wrapText="1" indent="1"/>
    </xf>
    <xf numFmtId="165" fontId="9" fillId="4" borderId="21" xfId="0" applyNumberFormat="1" applyFont="1" applyFill="1" applyBorder="1" applyAlignment="1">
      <alignment horizontal="right" vertical="center" wrapText="1" indent="1"/>
    </xf>
    <xf numFmtId="0" fontId="22" fillId="4" borderId="16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left" vertical="center" wrapText="1"/>
    </xf>
    <xf numFmtId="0" fontId="2" fillId="4" borderId="0" xfId="3" applyFont="1" applyFill="1" applyAlignment="1">
      <alignment horizontal="left" vertical="center" wrapText="1" indent="1"/>
    </xf>
    <xf numFmtId="0" fontId="2" fillId="4" borderId="16" xfId="3" applyFont="1" applyFill="1" applyBorder="1" applyAlignment="1">
      <alignment horizontal="left" vertical="center" wrapText="1" indent="1"/>
    </xf>
    <xf numFmtId="0" fontId="23" fillId="4" borderId="0" xfId="3" applyFont="1" applyFill="1" applyAlignment="1">
      <alignment vertical="center" wrapText="1"/>
    </xf>
    <xf numFmtId="0" fontId="2" fillId="4" borderId="0" xfId="3" applyFont="1" applyFill="1" applyAlignment="1">
      <alignment horizontal="left" vertical="center" wrapText="1" indent="2"/>
    </xf>
    <xf numFmtId="0" fontId="23" fillId="4" borderId="26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9" fillId="4" borderId="24" xfId="3" applyFont="1" applyFill="1" applyBorder="1" applyAlignment="1">
      <alignment horizontal="center" vertical="center" wrapText="1"/>
    </xf>
    <xf numFmtId="0" fontId="49" fillId="4" borderId="16" xfId="3" applyFont="1" applyFill="1" applyBorder="1" applyAlignment="1">
      <alignment horizontal="center" vertical="center" wrapText="1"/>
    </xf>
    <xf numFmtId="0" fontId="49" fillId="4" borderId="15" xfId="3" applyFont="1" applyFill="1" applyBorder="1" applyAlignment="1">
      <alignment horizontal="center" vertical="center" wrapText="1"/>
    </xf>
    <xf numFmtId="0" fontId="48" fillId="5" borderId="0" xfId="0" applyFont="1" applyFill="1" applyAlignment="1">
      <alignment vertical="center" wrapText="1"/>
    </xf>
    <xf numFmtId="0" fontId="9" fillId="4" borderId="16" xfId="7" applyFont="1" applyFill="1" applyBorder="1" applyAlignment="1">
      <alignment horizontal="right" vertical="center" wrapText="1" indent="1"/>
    </xf>
    <xf numFmtId="0" fontId="9" fillId="4" borderId="15" xfId="7" applyFont="1" applyFill="1" applyBorder="1" applyAlignment="1">
      <alignment horizontal="right" vertical="center" wrapText="1" indent="1"/>
    </xf>
    <xf numFmtId="0" fontId="9" fillId="4" borderId="24" xfId="7" applyFont="1" applyFill="1" applyBorder="1" applyAlignment="1">
      <alignment horizontal="right" vertical="center" wrapText="1" indent="1"/>
    </xf>
    <xf numFmtId="0" fontId="7" fillId="0" borderId="0" xfId="7" applyFont="1"/>
    <xf numFmtId="0" fontId="59" fillId="4" borderId="0" xfId="7" applyFont="1" applyFill="1" applyAlignment="1">
      <alignment vertical="center" wrapText="1"/>
    </xf>
    <xf numFmtId="164" fontId="59" fillId="4" borderId="0" xfId="7" applyNumberFormat="1" applyFont="1" applyFill="1" applyAlignment="1">
      <alignment horizontal="right" vertical="center" wrapText="1" indent="1"/>
    </xf>
    <xf numFmtId="165" fontId="59" fillId="3" borderId="17" xfId="7" applyNumberFormat="1" applyFont="1" applyFill="1" applyBorder="1" applyAlignment="1">
      <alignment horizontal="right" vertical="center" wrapText="1" indent="1"/>
    </xf>
    <xf numFmtId="164" fontId="59" fillId="4" borderId="25" xfId="7" applyNumberFormat="1" applyFont="1" applyFill="1" applyBorder="1" applyAlignment="1">
      <alignment horizontal="right" vertical="center" wrapText="1" indent="1"/>
    </xf>
    <xf numFmtId="1" fontId="59" fillId="4" borderId="0" xfId="7" applyNumberFormat="1" applyFont="1" applyFill="1" applyAlignment="1">
      <alignment horizontal="right" vertical="center" wrapText="1" indent="1"/>
    </xf>
    <xf numFmtId="0" fontId="65" fillId="4" borderId="16" xfId="7" applyFont="1" applyFill="1" applyBorder="1" applyAlignment="1">
      <alignment horizontal="left" vertical="center" wrapText="1"/>
    </xf>
    <xf numFmtId="164" fontId="65" fillId="4" borderId="16" xfId="7" applyNumberFormat="1" applyFont="1" applyFill="1" applyBorder="1" applyAlignment="1">
      <alignment horizontal="right" vertical="center" wrapText="1" indent="1"/>
    </xf>
    <xf numFmtId="165" fontId="65" fillId="3" borderId="15" xfId="7" applyNumberFormat="1" applyFont="1" applyFill="1" applyBorder="1" applyAlignment="1">
      <alignment horizontal="right" vertical="center" wrapText="1" indent="1"/>
    </xf>
    <xf numFmtId="164" fontId="65" fillId="4" borderId="24" xfId="7" applyNumberFormat="1" applyFont="1" applyFill="1" applyBorder="1" applyAlignment="1">
      <alignment horizontal="right" vertical="center" wrapText="1" indent="1"/>
    </xf>
    <xf numFmtId="1" fontId="65" fillId="4" borderId="16" xfId="7" applyNumberFormat="1" applyFont="1" applyFill="1" applyBorder="1" applyAlignment="1">
      <alignment horizontal="right" vertical="center" wrapText="1" indent="1"/>
    </xf>
    <xf numFmtId="0" fontId="59" fillId="4" borderId="0" xfId="7" applyFont="1" applyFill="1" applyAlignment="1">
      <alignment horizontal="left" vertical="center" wrapText="1"/>
    </xf>
    <xf numFmtId="0" fontId="65" fillId="4" borderId="21" xfId="7" applyFont="1" applyFill="1" applyBorder="1" applyAlignment="1">
      <alignment horizontal="left" vertical="center" wrapText="1"/>
    </xf>
    <xf numFmtId="164" fontId="65" fillId="4" borderId="21" xfId="7" applyNumberFormat="1" applyFont="1" applyFill="1" applyBorder="1" applyAlignment="1">
      <alignment horizontal="right" vertical="center" wrapText="1" indent="1"/>
    </xf>
    <xf numFmtId="1" fontId="65" fillId="3" borderId="20" xfId="7" applyNumberFormat="1" applyFont="1" applyFill="1" applyBorder="1" applyAlignment="1">
      <alignment horizontal="right" vertical="center" wrapText="1" indent="1"/>
    </xf>
    <xf numFmtId="164" fontId="65" fillId="4" borderId="38" xfId="7" applyNumberFormat="1" applyFont="1" applyFill="1" applyBorder="1" applyAlignment="1">
      <alignment horizontal="right" vertical="center" wrapText="1" indent="1"/>
    </xf>
    <xf numFmtId="1" fontId="65" fillId="4" borderId="21" xfId="7" applyNumberFormat="1" applyFont="1" applyFill="1" applyBorder="1" applyAlignment="1">
      <alignment horizontal="right" vertical="center" wrapText="1" indent="1"/>
    </xf>
    <xf numFmtId="49" fontId="24" fillId="0" borderId="0" xfId="7" applyNumberFormat="1"/>
    <xf numFmtId="0" fontId="77" fillId="0" borderId="0" xfId="7" applyFont="1"/>
    <xf numFmtId="0" fontId="78" fillId="0" borderId="0" xfId="7" applyFont="1"/>
    <xf numFmtId="0" fontId="5" fillId="4" borderId="0" xfId="3" applyFont="1" applyFill="1" applyAlignment="1">
      <alignment horizontal="left" vertical="center" wrapText="1"/>
    </xf>
    <xf numFmtId="0" fontId="22" fillId="4" borderId="26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vertical="center" wrapText="1"/>
    </xf>
    <xf numFmtId="0" fontId="5" fillId="4" borderId="0" xfId="3" applyFont="1" applyFill="1" applyAlignment="1">
      <alignment horizontal="left" vertical="center" wrapText="1" indent="1"/>
    </xf>
    <xf numFmtId="0" fontId="5" fillId="4" borderId="16" xfId="3" applyFont="1" applyFill="1" applyBorder="1" applyAlignment="1">
      <alignment horizontal="left" vertical="center" wrapText="1" indent="1"/>
    </xf>
    <xf numFmtId="0" fontId="5" fillId="4" borderId="21" xfId="3" applyFont="1" applyFill="1" applyBorder="1" applyAlignment="1">
      <alignment horizontal="left" vertical="center" wrapText="1" indent="1"/>
    </xf>
    <xf numFmtId="0" fontId="75" fillId="4" borderId="108" xfId="7" applyFont="1" applyFill="1" applyBorder="1" applyAlignment="1"/>
    <xf numFmtId="0" fontId="0" fillId="0" borderId="108" xfId="0" applyBorder="1" applyAlignment="1"/>
    <xf numFmtId="49" fontId="9" fillId="4" borderId="0" xfId="0" applyNumberFormat="1" applyFont="1" applyFill="1" applyAlignment="1">
      <alignment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10" fillId="4" borderId="25" xfId="0" applyNumberFormat="1" applyFont="1" applyFill="1" applyBorder="1" applyAlignment="1">
      <alignment horizontal="right" vertical="top" wrapText="1" indent="1"/>
    </xf>
    <xf numFmtId="164" fontId="10" fillId="4" borderId="0" xfId="0" applyNumberFormat="1" applyFont="1" applyFill="1" applyAlignment="1">
      <alignment horizontal="right" vertical="top" wrapText="1" indent="1"/>
    </xf>
    <xf numFmtId="3" fontId="10" fillId="4" borderId="0" xfId="0" applyNumberFormat="1" applyFont="1" applyFill="1" applyAlignment="1">
      <alignment horizontal="right" vertical="top" wrapText="1" indent="1"/>
    </xf>
    <xf numFmtId="49" fontId="10" fillId="4" borderId="19" xfId="0" applyNumberFormat="1" applyFont="1" applyFill="1" applyBorder="1" applyAlignment="1">
      <alignment vertical="top" wrapText="1"/>
    </xf>
    <xf numFmtId="0" fontId="10" fillId="4" borderId="19" xfId="0" applyFont="1" applyFill="1" applyBorder="1" applyAlignment="1">
      <alignment vertical="top" wrapText="1"/>
    </xf>
    <xf numFmtId="164" fontId="10" fillId="4" borderId="70" xfId="0" applyNumberFormat="1" applyFont="1" applyFill="1" applyBorder="1" applyAlignment="1">
      <alignment horizontal="right" vertical="top" wrapText="1" indent="1"/>
    </xf>
    <xf numFmtId="164" fontId="10" fillId="4" borderId="19" xfId="0" applyNumberFormat="1" applyFont="1" applyFill="1" applyBorder="1" applyAlignment="1">
      <alignment horizontal="right" vertical="top" wrapText="1" indent="1"/>
    </xf>
    <xf numFmtId="3" fontId="10" fillId="4" borderId="19" xfId="0" applyNumberFormat="1" applyFont="1" applyFill="1" applyBorder="1" applyAlignment="1">
      <alignment horizontal="right" vertical="top" wrapText="1" indent="1"/>
    </xf>
    <xf numFmtId="49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164" fontId="9" fillId="4" borderId="25" xfId="0" applyNumberFormat="1" applyFont="1" applyFill="1" applyBorder="1" applyAlignment="1">
      <alignment horizontal="right" vertical="top" wrapText="1" indent="1"/>
    </xf>
    <xf numFmtId="164" fontId="9" fillId="4" borderId="0" xfId="0" applyNumberFormat="1" applyFont="1" applyFill="1" applyAlignment="1">
      <alignment horizontal="right" vertical="top" wrapText="1" indent="1"/>
    </xf>
    <xf numFmtId="3" fontId="9" fillId="4" borderId="0" xfId="0" applyNumberFormat="1" applyFont="1" applyFill="1" applyAlignment="1">
      <alignment horizontal="right" vertical="top" wrapText="1" indent="1"/>
    </xf>
    <xf numFmtId="49" fontId="9" fillId="4" borderId="16" xfId="0" applyNumberFormat="1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164" fontId="9" fillId="4" borderId="24" xfId="0" applyNumberFormat="1" applyFont="1" applyFill="1" applyBorder="1" applyAlignment="1">
      <alignment horizontal="right" vertical="top" wrapText="1" indent="1"/>
    </xf>
    <xf numFmtId="164" fontId="9" fillId="4" borderId="16" xfId="0" applyNumberFormat="1" applyFont="1" applyFill="1" applyBorder="1" applyAlignment="1">
      <alignment horizontal="right" vertical="top" wrapText="1" indent="1"/>
    </xf>
    <xf numFmtId="3" fontId="10" fillId="4" borderId="16" xfId="0" applyNumberFormat="1" applyFont="1" applyFill="1" applyBorder="1" applyAlignment="1">
      <alignment horizontal="right" vertical="top" wrapText="1" indent="1"/>
    </xf>
    <xf numFmtId="49" fontId="9" fillId="4" borderId="21" xfId="0" applyNumberFormat="1" applyFont="1" applyFill="1" applyBorder="1" applyAlignment="1">
      <alignment vertical="top" wrapText="1"/>
    </xf>
    <xf numFmtId="0" fontId="9" fillId="4" borderId="21" xfId="0" applyFont="1" applyFill="1" applyBorder="1" applyAlignment="1">
      <alignment vertical="top" wrapText="1"/>
    </xf>
    <xf numFmtId="164" fontId="9" fillId="4" borderId="38" xfId="0" applyNumberFormat="1" applyFont="1" applyFill="1" applyBorder="1" applyAlignment="1">
      <alignment horizontal="right" vertical="top" wrapText="1" indent="1"/>
    </xf>
    <xf numFmtId="164" fontId="9" fillId="4" borderId="21" xfId="0" applyNumberFormat="1" applyFont="1" applyFill="1" applyBorder="1" applyAlignment="1">
      <alignment horizontal="right" vertical="top" wrapText="1" indent="1"/>
    </xf>
    <xf numFmtId="3" fontId="9" fillId="4" borderId="21" xfId="0" applyNumberFormat="1" applyFont="1" applyFill="1" applyBorder="1" applyAlignment="1">
      <alignment horizontal="right" vertical="top" wrapText="1" indent="1"/>
    </xf>
    <xf numFmtId="0" fontId="16" fillId="0" borderId="0" xfId="0" applyFont="1"/>
    <xf numFmtId="49" fontId="22" fillId="4" borderId="24" xfId="0" applyNumberFormat="1" applyFont="1" applyFill="1" applyBorder="1" applyAlignment="1">
      <alignment horizontal="center" vertical="center" wrapText="1"/>
    </xf>
    <xf numFmtId="49" fontId="22" fillId="4" borderId="16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 wrapText="1"/>
    </xf>
    <xf numFmtId="164" fontId="22" fillId="4" borderId="25" xfId="0" applyNumberFormat="1" applyFont="1" applyFill="1" applyBorder="1" applyAlignment="1">
      <alignment horizontal="right" vertical="center" wrapText="1" indent="1"/>
    </xf>
    <xf numFmtId="164" fontId="22" fillId="4" borderId="0" xfId="0" applyNumberFormat="1" applyFont="1" applyFill="1" applyAlignment="1">
      <alignment horizontal="right" vertical="center" wrapText="1" indent="1"/>
    </xf>
    <xf numFmtId="3" fontId="22" fillId="4" borderId="0" xfId="0" applyNumberFormat="1" applyFont="1" applyFill="1" applyAlignment="1">
      <alignment horizontal="right" vertical="center" wrapText="1" indent="1"/>
    </xf>
    <xf numFmtId="0" fontId="5" fillId="4" borderId="0" xfId="0" applyFont="1" applyFill="1" applyAlignment="1">
      <alignment horizontal="left" vertical="center" wrapText="1"/>
    </xf>
    <xf numFmtId="164" fontId="5" fillId="4" borderId="0" xfId="0" applyNumberFormat="1" applyFont="1" applyFill="1" applyAlignment="1">
      <alignment horizontal="right" vertical="center" wrapText="1" indent="1"/>
    </xf>
    <xf numFmtId="0" fontId="5" fillId="4" borderId="21" xfId="0" applyFont="1" applyFill="1" applyBorder="1" applyAlignment="1">
      <alignment horizontal="left" vertical="center" wrapText="1"/>
    </xf>
    <xf numFmtId="164" fontId="5" fillId="4" borderId="38" xfId="2" applyNumberFormat="1" applyFont="1" applyFill="1" applyBorder="1" applyAlignment="1">
      <alignment horizontal="right" vertical="center" wrapText="1" indent="1"/>
    </xf>
    <xf numFmtId="164" fontId="5" fillId="4" borderId="21" xfId="2" applyNumberFormat="1" applyFont="1" applyFill="1" applyBorder="1" applyAlignment="1">
      <alignment horizontal="right" vertical="center" wrapText="1" indent="1"/>
    </xf>
    <xf numFmtId="3" fontId="5" fillId="4" borderId="21" xfId="0" applyNumberFormat="1" applyFont="1" applyFill="1" applyBorder="1" applyAlignment="1">
      <alignment horizontal="right" vertical="center" wrapText="1" indent="1"/>
    </xf>
    <xf numFmtId="0" fontId="48" fillId="5" borderId="0" xfId="7" applyFont="1" applyFill="1" applyAlignment="1">
      <alignment horizontal="right" vertical="center"/>
    </xf>
    <xf numFmtId="49" fontId="22" fillId="4" borderId="24" xfId="0" applyNumberFormat="1" applyFont="1" applyFill="1" applyBorder="1" applyAlignment="1">
      <alignment horizontal="right" vertical="center" wrapText="1" indent="1"/>
    </xf>
    <xf numFmtId="49" fontId="22" fillId="4" borderId="16" xfId="0" applyNumberFormat="1" applyFont="1" applyFill="1" applyBorder="1" applyAlignment="1">
      <alignment horizontal="right" vertical="center" wrapText="1" indent="1"/>
    </xf>
    <xf numFmtId="0" fontId="22" fillId="4" borderId="19" xfId="0" applyFont="1" applyFill="1" applyBorder="1" applyAlignment="1">
      <alignment horizontal="left" vertical="center" wrapText="1"/>
    </xf>
    <xf numFmtId="164" fontId="22" fillId="4" borderId="70" xfId="0" applyNumberFormat="1" applyFont="1" applyFill="1" applyBorder="1" applyAlignment="1">
      <alignment horizontal="right" vertical="center" wrapText="1" indent="1"/>
    </xf>
    <xf numFmtId="164" fontId="22" fillId="4" borderId="19" xfId="0" applyNumberFormat="1" applyFont="1" applyFill="1" applyBorder="1" applyAlignment="1">
      <alignment horizontal="right" vertical="center" wrapText="1" indent="1"/>
    </xf>
    <xf numFmtId="3" fontId="22" fillId="4" borderId="19" xfId="0" applyNumberFormat="1" applyFont="1" applyFill="1" applyBorder="1" applyAlignment="1">
      <alignment horizontal="right" vertical="center" wrapText="1" indent="1"/>
    </xf>
    <xf numFmtId="0" fontId="22" fillId="3" borderId="16" xfId="0" applyFont="1" applyFill="1" applyBorder="1" applyAlignment="1">
      <alignment horizontal="left" vertical="center" wrapText="1"/>
    </xf>
    <xf numFmtId="166" fontId="22" fillId="3" borderId="24" xfId="2" applyNumberFormat="1" applyFont="1" applyFill="1" applyBorder="1" applyAlignment="1">
      <alignment horizontal="right" vertical="center" wrapText="1" indent="1"/>
    </xf>
    <xf numFmtId="166" fontId="22" fillId="3" borderId="16" xfId="2" applyNumberFormat="1" applyFont="1" applyFill="1" applyBorder="1" applyAlignment="1">
      <alignment horizontal="right" vertical="center" wrapText="1" indent="1"/>
    </xf>
    <xf numFmtId="3" fontId="22" fillId="3" borderId="16" xfId="0" applyNumberFormat="1" applyFont="1" applyFill="1" applyBorder="1" applyAlignment="1">
      <alignment horizontal="right" vertical="center" wrapText="1" indent="1"/>
    </xf>
    <xf numFmtId="0" fontId="22" fillId="3" borderId="21" xfId="0" applyFont="1" applyFill="1" applyBorder="1" applyAlignment="1">
      <alignment horizontal="left" vertical="center" wrapText="1"/>
    </xf>
    <xf numFmtId="166" fontId="22" fillId="3" borderId="38" xfId="2" applyNumberFormat="1" applyFont="1" applyFill="1" applyBorder="1" applyAlignment="1">
      <alignment horizontal="right" vertical="center" wrapText="1" indent="1"/>
    </xf>
    <xf numFmtId="166" fontId="22" fillId="3" borderId="21" xfId="2" applyNumberFormat="1" applyFont="1" applyFill="1" applyBorder="1" applyAlignment="1">
      <alignment horizontal="right" vertical="center" wrapText="1" indent="1"/>
    </xf>
    <xf numFmtId="3" fontId="22" fillId="3" borderId="21" xfId="0" applyNumberFormat="1" applyFont="1" applyFill="1" applyBorder="1" applyAlignment="1">
      <alignment horizontal="right" vertical="center" wrapText="1" indent="1"/>
    </xf>
    <xf numFmtId="166" fontId="10" fillId="4" borderId="27" xfId="2" applyNumberFormat="1" applyFont="1" applyFill="1" applyBorder="1" applyAlignment="1">
      <alignment horizontal="right" vertical="center" wrapText="1" indent="1"/>
    </xf>
    <xf numFmtId="166" fontId="10" fillId="4" borderId="26" xfId="2" applyNumberFormat="1" applyFont="1" applyFill="1" applyBorder="1" applyAlignment="1">
      <alignment horizontal="right" vertical="center" wrapText="1" indent="1"/>
    </xf>
    <xf numFmtId="0" fontId="48" fillId="5" borderId="0" xfId="0" applyFont="1" applyFill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vertical="center" wrapText="1"/>
    </xf>
    <xf numFmtId="0" fontId="53" fillId="5" borderId="0" xfId="0" applyFont="1" applyFill="1" applyBorder="1" applyAlignment="1">
      <alignment horizontal="right" vertical="center"/>
    </xf>
    <xf numFmtId="49" fontId="10" fillId="4" borderId="57" xfId="0" applyNumberFormat="1" applyFont="1" applyFill="1" applyBorder="1" applyAlignment="1">
      <alignment horizontal="center" vertical="center" wrapText="1"/>
    </xf>
    <xf numFmtId="49" fontId="10" fillId="4" borderId="55" xfId="0" applyNumberFormat="1" applyFont="1" applyFill="1" applyBorder="1" applyAlignment="1">
      <alignment horizontal="center" vertical="center" wrapText="1"/>
    </xf>
    <xf numFmtId="164" fontId="9" fillId="4" borderId="63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 wrapText="1"/>
    </xf>
    <xf numFmtId="164" fontId="12" fillId="4" borderId="63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Alignment="1">
      <alignment horizontal="right" vertical="center" wrapText="1"/>
    </xf>
    <xf numFmtId="0" fontId="58" fillId="6" borderId="0" xfId="0" applyFont="1" applyFill="1" applyBorder="1" applyAlignment="1">
      <alignment vertical="center" wrapText="1"/>
    </xf>
    <xf numFmtId="165" fontId="9" fillId="3" borderId="56" xfId="0" applyNumberFormat="1" applyFont="1" applyFill="1" applyBorder="1" applyAlignment="1">
      <alignment horizontal="right" vertical="center" wrapText="1" indent="1"/>
    </xf>
    <xf numFmtId="0" fontId="15" fillId="4" borderId="121" xfId="0" applyFont="1" applyFill="1" applyBorder="1" applyAlignment="1">
      <alignment horizontal="center" vertical="center" wrapText="1"/>
    </xf>
    <xf numFmtId="0" fontId="15" fillId="4" borderId="122" xfId="0" applyFont="1" applyFill="1" applyBorder="1" applyAlignment="1">
      <alignment horizontal="center" vertical="center" wrapText="1"/>
    </xf>
    <xf numFmtId="165" fontId="10" fillId="3" borderId="56" xfId="0" applyNumberFormat="1" applyFont="1" applyFill="1" applyBorder="1" applyAlignment="1">
      <alignment horizontal="right" vertical="center" wrapText="1"/>
    </xf>
    <xf numFmtId="164" fontId="9" fillId="4" borderId="63" xfId="0" applyNumberFormat="1" applyFont="1" applyFill="1" applyBorder="1" applyAlignment="1">
      <alignment horizontal="right" vertical="center" wrapText="1" indent="1"/>
    </xf>
    <xf numFmtId="164" fontId="10" fillId="4" borderId="125" xfId="0" applyNumberFormat="1" applyFont="1" applyFill="1" applyBorder="1" applyAlignment="1">
      <alignment horizontal="right" vertical="center" wrapText="1" indent="1"/>
    </xf>
    <xf numFmtId="164" fontId="10" fillId="3" borderId="126" xfId="0" applyNumberFormat="1" applyFont="1" applyFill="1" applyBorder="1" applyAlignment="1">
      <alignment horizontal="right" vertical="center" wrapText="1" indent="1"/>
    </xf>
    <xf numFmtId="165" fontId="10" fillId="3" borderId="126" xfId="0" applyNumberFormat="1" applyFont="1" applyFill="1" applyBorder="1" applyAlignment="1">
      <alignment horizontal="right" vertical="center" wrapText="1" indent="1"/>
    </xf>
    <xf numFmtId="164" fontId="10" fillId="4" borderId="127" xfId="0" applyNumberFormat="1" applyFont="1" applyFill="1" applyBorder="1" applyAlignment="1">
      <alignment horizontal="right" vertical="center" wrapText="1" indent="1"/>
    </xf>
    <xf numFmtId="1" fontId="10" fillId="3" borderId="128" xfId="0" applyNumberFormat="1" applyFont="1" applyFill="1" applyBorder="1" applyAlignment="1">
      <alignment horizontal="right" vertical="center" wrapText="1" indent="1"/>
    </xf>
    <xf numFmtId="0" fontId="15" fillId="4" borderId="129" xfId="0" applyFont="1" applyFill="1" applyBorder="1" applyAlignment="1">
      <alignment horizontal="center" vertical="center" wrapText="1"/>
    </xf>
    <xf numFmtId="164" fontId="10" fillId="4" borderId="63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right" vertical="center" wrapText="1"/>
    </xf>
    <xf numFmtId="0" fontId="65" fillId="3" borderId="65" xfId="0" applyFont="1" applyFill="1" applyBorder="1" applyAlignment="1">
      <alignment vertical="center" wrapText="1"/>
    </xf>
    <xf numFmtId="0" fontId="65" fillId="4" borderId="73" xfId="0" applyFont="1" applyFill="1" applyBorder="1" applyAlignment="1">
      <alignment vertical="center" wrapText="1"/>
    </xf>
    <xf numFmtId="164" fontId="10" fillId="4" borderId="72" xfId="2" applyNumberFormat="1" applyFont="1" applyFill="1" applyBorder="1" applyAlignment="1">
      <alignment vertical="center" wrapText="1"/>
    </xf>
    <xf numFmtId="164" fontId="10" fillId="4" borderId="64" xfId="2" applyNumberFormat="1" applyFont="1" applyFill="1" applyBorder="1" applyAlignment="1">
      <alignment vertical="center" wrapText="1"/>
    </xf>
    <xf numFmtId="0" fontId="59" fillId="4" borderId="130" xfId="0" applyFont="1" applyFill="1" applyBorder="1" applyAlignment="1">
      <alignment horizontal="center" vertical="center" wrapText="1"/>
    </xf>
    <xf numFmtId="49" fontId="10" fillId="4" borderId="44" xfId="0" applyNumberFormat="1" applyFont="1" applyFill="1" applyBorder="1" applyAlignment="1">
      <alignment horizontal="right" vertical="center" wrapText="1" indent="1"/>
    </xf>
    <xf numFmtId="49" fontId="10" fillId="4" borderId="43" xfId="0" applyNumberFormat="1" applyFont="1" applyFill="1" applyBorder="1" applyAlignment="1">
      <alignment horizontal="right" vertical="center" wrapText="1" indent="1"/>
    </xf>
    <xf numFmtId="0" fontId="9" fillId="4" borderId="94" xfId="0" applyFont="1" applyFill="1" applyBorder="1" applyAlignment="1">
      <alignment vertical="center" wrapText="1"/>
    </xf>
    <xf numFmtId="164" fontId="9" fillId="4" borderId="101" xfId="0" applyNumberFormat="1" applyFont="1" applyFill="1" applyBorder="1" applyAlignment="1">
      <alignment horizontal="right" vertical="center" wrapText="1" indent="1"/>
    </xf>
    <xf numFmtId="164" fontId="9" fillId="4" borderId="94" xfId="0" applyNumberFormat="1" applyFont="1" applyFill="1" applyBorder="1" applyAlignment="1">
      <alignment horizontal="right" vertical="center" wrapText="1" indent="1"/>
    </xf>
    <xf numFmtId="166" fontId="10" fillId="4" borderId="47" xfId="0" applyNumberFormat="1" applyFont="1" applyFill="1" applyBorder="1" applyAlignment="1">
      <alignment horizontal="right" vertical="center" wrapText="1" indent="1"/>
    </xf>
    <xf numFmtId="166" fontId="10" fillId="4" borderId="0" xfId="0" applyNumberFormat="1" applyFont="1" applyFill="1" applyAlignment="1">
      <alignment horizontal="right" vertical="center" wrapText="1" indent="1"/>
    </xf>
    <xf numFmtId="0" fontId="10" fillId="4" borderId="97" xfId="0" applyFont="1" applyFill="1" applyBorder="1" applyAlignment="1">
      <alignment vertical="center" wrapText="1"/>
    </xf>
    <xf numFmtId="166" fontId="10" fillId="4" borderId="106" xfId="0" applyNumberFormat="1" applyFont="1" applyFill="1" applyBorder="1" applyAlignment="1">
      <alignment horizontal="right" vertical="center" wrapText="1" indent="1"/>
    </xf>
    <xf numFmtId="166" fontId="10" fillId="4" borderId="97" xfId="0" applyNumberFormat="1" applyFont="1" applyFill="1" applyBorder="1" applyAlignment="1">
      <alignment horizontal="right" vertical="center" wrapText="1" indent="1"/>
    </xf>
    <xf numFmtId="0" fontId="10" fillId="4" borderId="131" xfId="0" applyFont="1" applyFill="1" applyBorder="1" applyAlignment="1">
      <alignment vertical="center" wrapText="1"/>
    </xf>
    <xf numFmtId="164" fontId="10" fillId="4" borderId="131" xfId="2" applyNumberFormat="1" applyFont="1" applyFill="1" applyBorder="1" applyAlignment="1">
      <alignment horizontal="right" vertical="center" wrapText="1"/>
    </xf>
    <xf numFmtId="164" fontId="10" fillId="4" borderId="28" xfId="0" applyNumberFormat="1" applyFont="1" applyFill="1" applyBorder="1" applyAlignment="1">
      <alignment horizontal="right" vertical="center" wrapText="1" indent="1"/>
    </xf>
    <xf numFmtId="164" fontId="10" fillId="4" borderId="26" xfId="0" applyNumberFormat="1" applyFont="1" applyFill="1" applyBorder="1" applyAlignment="1">
      <alignment horizontal="right" vertical="center" wrapText="1" indent="1"/>
    </xf>
    <xf numFmtId="0" fontId="48" fillId="5" borderId="0" xfId="7" applyFont="1" applyFill="1" applyBorder="1" applyAlignment="1">
      <alignment horizontal="right" vertical="center"/>
    </xf>
    <xf numFmtId="0" fontId="48" fillId="5" borderId="0" xfId="7" applyFont="1" applyFill="1" applyAlignment="1">
      <alignment horizontal="left" vertical="center"/>
    </xf>
    <xf numFmtId="0" fontId="4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77" fillId="0" borderId="0" xfId="7" applyFont="1" applyFill="1"/>
    <xf numFmtId="164" fontId="74" fillId="0" borderId="0" xfId="0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vertical="center"/>
    </xf>
    <xf numFmtId="0" fontId="9" fillId="4" borderId="134" xfId="0" applyFont="1" applyFill="1" applyBorder="1" applyAlignment="1">
      <alignment vertical="center" wrapText="1"/>
    </xf>
    <xf numFmtId="164" fontId="12" fillId="4" borderId="135" xfId="0" applyNumberFormat="1" applyFont="1" applyFill="1" applyBorder="1" applyAlignment="1">
      <alignment horizontal="right" vertical="center" wrapText="1"/>
    </xf>
    <xf numFmtId="165" fontId="9" fillId="4" borderId="136" xfId="0" applyNumberFormat="1" applyFont="1" applyFill="1" applyBorder="1" applyAlignment="1">
      <alignment horizontal="right" vertical="center" wrapText="1"/>
    </xf>
    <xf numFmtId="3" fontId="9" fillId="4" borderId="134" xfId="0" applyNumberFormat="1" applyFont="1" applyFill="1" applyBorder="1" applyAlignment="1">
      <alignment horizontal="right" vertical="center" wrapText="1"/>
    </xf>
    <xf numFmtId="0" fontId="9" fillId="4" borderId="137" xfId="0" applyFont="1" applyFill="1" applyBorder="1" applyAlignment="1">
      <alignment vertical="center" wrapText="1"/>
    </xf>
    <xf numFmtId="164" fontId="12" fillId="4" borderId="138" xfId="0" applyNumberFormat="1" applyFont="1" applyFill="1" applyBorder="1" applyAlignment="1">
      <alignment horizontal="right" vertical="center" wrapText="1"/>
    </xf>
    <xf numFmtId="165" fontId="9" fillId="4" borderId="139" xfId="0" applyNumberFormat="1" applyFont="1" applyFill="1" applyBorder="1" applyAlignment="1">
      <alignment horizontal="right" vertical="center" wrapText="1"/>
    </xf>
    <xf numFmtId="3" fontId="9" fillId="4" borderId="137" xfId="0" applyNumberFormat="1" applyFont="1" applyFill="1" applyBorder="1" applyAlignment="1">
      <alignment horizontal="right" vertical="center" wrapText="1"/>
    </xf>
    <xf numFmtId="0" fontId="10" fillId="4" borderId="137" xfId="0" applyFont="1" applyFill="1" applyBorder="1" applyAlignment="1">
      <alignment vertical="center" wrapText="1"/>
    </xf>
    <xf numFmtId="164" fontId="10" fillId="4" borderId="138" xfId="0" applyNumberFormat="1" applyFont="1" applyFill="1" applyBorder="1" applyAlignment="1">
      <alignment horizontal="right" vertical="center" wrapText="1"/>
    </xf>
    <xf numFmtId="1" fontId="10" fillId="4" borderId="139" xfId="0" applyNumberFormat="1" applyFont="1" applyFill="1" applyBorder="1" applyAlignment="1">
      <alignment horizontal="right" vertical="center" wrapText="1"/>
    </xf>
    <xf numFmtId="3" fontId="10" fillId="4" borderId="137" xfId="0" applyNumberFormat="1" applyFont="1" applyFill="1" applyBorder="1" applyAlignment="1">
      <alignment horizontal="right" vertical="center" wrapText="1"/>
    </xf>
    <xf numFmtId="164" fontId="9" fillId="4" borderId="138" xfId="0" applyNumberFormat="1" applyFont="1" applyFill="1" applyBorder="1" applyAlignment="1">
      <alignment horizontal="right" vertical="center" wrapText="1"/>
    </xf>
    <xf numFmtId="0" fontId="9" fillId="4" borderId="140" xfId="0" applyFont="1" applyFill="1" applyBorder="1" applyAlignment="1">
      <alignment vertical="center" wrapText="1"/>
    </xf>
    <xf numFmtId="164" fontId="12" fillId="4" borderId="141" xfId="0" applyNumberFormat="1" applyFont="1" applyFill="1" applyBorder="1" applyAlignment="1">
      <alignment horizontal="right" vertical="center" wrapText="1"/>
    </xf>
    <xf numFmtId="165" fontId="9" fillId="4" borderId="142" xfId="0" applyNumberFormat="1" applyFont="1" applyFill="1" applyBorder="1" applyAlignment="1">
      <alignment horizontal="right" vertical="center" wrapText="1"/>
    </xf>
    <xf numFmtId="3" fontId="9" fillId="4" borderId="140" xfId="0" applyNumberFormat="1" applyFont="1" applyFill="1" applyBorder="1" applyAlignment="1">
      <alignment horizontal="right" vertical="center" wrapText="1"/>
    </xf>
    <xf numFmtId="0" fontId="9" fillId="4" borderId="143" xfId="0" applyFont="1" applyFill="1" applyBorder="1" applyAlignment="1">
      <alignment vertical="center" wrapText="1"/>
    </xf>
    <xf numFmtId="164" fontId="9" fillId="4" borderId="144" xfId="0" applyNumberFormat="1" applyFont="1" applyFill="1" applyBorder="1" applyAlignment="1">
      <alignment horizontal="right" vertical="center" wrapText="1"/>
    </xf>
    <xf numFmtId="165" fontId="9" fillId="4" borderId="145" xfId="0" applyNumberFormat="1" applyFont="1" applyFill="1" applyBorder="1" applyAlignment="1">
      <alignment horizontal="right" vertical="center" wrapText="1"/>
    </xf>
    <xf numFmtId="3" fontId="9" fillId="4" borderId="143" xfId="0" applyNumberFormat="1" applyFont="1" applyFill="1" applyBorder="1" applyAlignment="1">
      <alignment horizontal="right" vertical="center" wrapText="1"/>
    </xf>
    <xf numFmtId="0" fontId="10" fillId="4" borderId="143" xfId="0" applyFont="1" applyFill="1" applyBorder="1" applyAlignment="1">
      <alignment vertical="center" wrapText="1"/>
    </xf>
    <xf numFmtId="0" fontId="23" fillId="4" borderId="146" xfId="0" applyFont="1" applyFill="1" applyBorder="1" applyAlignment="1">
      <alignment horizontal="center" vertical="center" wrapText="1"/>
    </xf>
    <xf numFmtId="0" fontId="23" fillId="4" borderId="149" xfId="0" applyFont="1" applyFill="1" applyBorder="1" applyAlignment="1">
      <alignment horizontal="center" vertical="center" wrapText="1"/>
    </xf>
    <xf numFmtId="0" fontId="12" fillId="4" borderId="150" xfId="0" applyFont="1" applyFill="1" applyBorder="1" applyAlignment="1">
      <alignment horizontal="left" vertical="center" wrapText="1"/>
    </xf>
    <xf numFmtId="164" fontId="12" fillId="4" borderId="151" xfId="0" applyNumberFormat="1" applyFont="1" applyFill="1" applyBorder="1" applyAlignment="1">
      <alignment horizontal="right" vertical="center" wrapText="1" indent="1"/>
    </xf>
    <xf numFmtId="0" fontId="12" fillId="4" borderId="152" xfId="0" applyFont="1" applyFill="1" applyBorder="1" applyAlignment="1">
      <alignment horizontal="right" vertical="center" wrapText="1"/>
    </xf>
    <xf numFmtId="0" fontId="12" fillId="4" borderId="153" xfId="0" applyFont="1" applyFill="1" applyBorder="1" applyAlignment="1">
      <alignment horizontal="left" vertical="center" wrapText="1"/>
    </xf>
    <xf numFmtId="164" fontId="12" fillId="4" borderId="154" xfId="0" applyNumberFormat="1" applyFont="1" applyFill="1" applyBorder="1" applyAlignment="1">
      <alignment horizontal="right" vertical="center" wrapText="1" indent="1"/>
    </xf>
    <xf numFmtId="0" fontId="12" fillId="4" borderId="155" xfId="0" applyFont="1" applyFill="1" applyBorder="1" applyAlignment="1">
      <alignment horizontal="right" vertical="center" wrapText="1"/>
    </xf>
    <xf numFmtId="0" fontId="12" fillId="4" borderId="156" xfId="0" applyFont="1" applyFill="1" applyBorder="1" applyAlignment="1">
      <alignment horizontal="left" vertical="center" wrapText="1"/>
    </xf>
    <xf numFmtId="164" fontId="12" fillId="4" borderId="157" xfId="0" applyNumberFormat="1" applyFont="1" applyFill="1" applyBorder="1" applyAlignment="1">
      <alignment horizontal="right" vertical="center" wrapText="1" indent="1"/>
    </xf>
    <xf numFmtId="0" fontId="12" fillId="4" borderId="158" xfId="0" applyFont="1" applyFill="1" applyBorder="1" applyAlignment="1">
      <alignment horizontal="right" vertical="center" wrapText="1"/>
    </xf>
    <xf numFmtId="0" fontId="12" fillId="4" borderId="118" xfId="0" applyFont="1" applyFill="1" applyBorder="1" applyAlignment="1">
      <alignment vertical="center" wrapText="1"/>
    </xf>
    <xf numFmtId="0" fontId="12" fillId="4" borderId="159" xfId="0" applyFont="1" applyFill="1" applyBorder="1" applyAlignment="1">
      <alignment vertical="center" wrapText="1"/>
    </xf>
    <xf numFmtId="0" fontId="17" fillId="4" borderId="159" xfId="0" applyFont="1" applyFill="1" applyBorder="1" applyAlignment="1">
      <alignment horizontal="right" vertical="center" wrapText="1"/>
    </xf>
    <xf numFmtId="164" fontId="17" fillId="4" borderId="159" xfId="0" applyNumberFormat="1" applyFont="1" applyFill="1" applyBorder="1" applyAlignment="1">
      <alignment horizontal="right" vertical="center" wrapText="1" indent="1"/>
    </xf>
    <xf numFmtId="0" fontId="9" fillId="4" borderId="161" xfId="0" applyFont="1" applyFill="1" applyBorder="1" applyAlignment="1">
      <alignment vertical="center" wrapText="1"/>
    </xf>
    <xf numFmtId="164" fontId="9" fillId="4" borderId="115" xfId="0" applyNumberFormat="1" applyFont="1" applyFill="1" applyBorder="1" applyAlignment="1">
      <alignment horizontal="right" vertical="center" wrapText="1" indent="1"/>
    </xf>
    <xf numFmtId="164" fontId="9" fillId="4" borderId="161" xfId="0" applyNumberFormat="1" applyFont="1" applyFill="1" applyBorder="1" applyAlignment="1">
      <alignment horizontal="right" vertical="center" wrapText="1" indent="1"/>
    </xf>
    <xf numFmtId="164" fontId="9" fillId="4" borderId="162" xfId="0" applyNumberFormat="1" applyFont="1" applyFill="1" applyBorder="1" applyAlignment="1">
      <alignment horizontal="right" vertical="center" wrapText="1" indent="1"/>
    </xf>
    <xf numFmtId="165" fontId="9" fillId="4" borderId="161" xfId="0" applyNumberFormat="1" applyFont="1" applyFill="1" applyBorder="1" applyAlignment="1">
      <alignment horizontal="right" vertical="center" wrapText="1" indent="1"/>
    </xf>
    <xf numFmtId="0" fontId="9" fillId="4" borderId="116" xfId="0" applyFont="1" applyFill="1" applyBorder="1" applyAlignment="1">
      <alignment vertical="center" wrapText="1"/>
    </xf>
    <xf numFmtId="164" fontId="9" fillId="4" borderId="163" xfId="0" applyNumberFormat="1" applyFont="1" applyFill="1" applyBorder="1" applyAlignment="1">
      <alignment horizontal="right" vertical="center" wrapText="1" indent="1"/>
    </xf>
    <xf numFmtId="164" fontId="9" fillId="4" borderId="116" xfId="0" applyNumberFormat="1" applyFont="1" applyFill="1" applyBorder="1" applyAlignment="1">
      <alignment horizontal="right" vertical="center" wrapText="1" indent="1"/>
    </xf>
    <xf numFmtId="164" fontId="9" fillId="4" borderId="164" xfId="0" applyNumberFormat="1" applyFont="1" applyFill="1" applyBorder="1" applyAlignment="1">
      <alignment horizontal="right" vertical="center" wrapText="1" indent="1"/>
    </xf>
    <xf numFmtId="165" fontId="9" fillId="4" borderId="116" xfId="0" applyNumberFormat="1" applyFont="1" applyFill="1" applyBorder="1" applyAlignment="1">
      <alignment horizontal="right" vertical="center" wrapText="1" indent="1"/>
    </xf>
    <xf numFmtId="0" fontId="9" fillId="4" borderId="165" xfId="0" applyFont="1" applyFill="1" applyBorder="1" applyAlignment="1">
      <alignment vertical="center" wrapText="1"/>
    </xf>
    <xf numFmtId="164" fontId="9" fillId="4" borderId="166" xfId="0" applyNumberFormat="1" applyFont="1" applyFill="1" applyBorder="1" applyAlignment="1">
      <alignment horizontal="right" vertical="center" wrapText="1" indent="1"/>
    </xf>
    <xf numFmtId="164" fontId="9" fillId="4" borderId="165" xfId="0" applyNumberFormat="1" applyFont="1" applyFill="1" applyBorder="1" applyAlignment="1">
      <alignment horizontal="right" vertical="center" wrapText="1" indent="1"/>
    </xf>
    <xf numFmtId="164" fontId="9" fillId="4" borderId="167" xfId="0" applyNumberFormat="1" applyFont="1" applyFill="1" applyBorder="1" applyAlignment="1">
      <alignment horizontal="right" vertical="center" wrapText="1" indent="1"/>
    </xf>
    <xf numFmtId="165" fontId="9" fillId="4" borderId="165" xfId="0" applyNumberFormat="1" applyFont="1" applyFill="1" applyBorder="1" applyAlignment="1">
      <alignment horizontal="right" vertical="center" wrapText="1" indent="1"/>
    </xf>
    <xf numFmtId="165" fontId="10" fillId="4" borderId="26" xfId="0" applyNumberFormat="1" applyFont="1" applyFill="1" applyBorder="1" applyAlignment="1">
      <alignment horizontal="right" vertical="center" wrapText="1" indent="1"/>
    </xf>
    <xf numFmtId="0" fontId="9" fillId="4" borderId="133" xfId="0" applyFont="1" applyFill="1" applyBorder="1" applyAlignment="1">
      <alignment vertical="center" wrapText="1"/>
    </xf>
    <xf numFmtId="164" fontId="9" fillId="4" borderId="132" xfId="0" applyNumberFormat="1" applyFont="1" applyFill="1" applyBorder="1" applyAlignment="1">
      <alignment horizontal="right" vertical="center" wrapText="1" indent="1"/>
    </xf>
    <xf numFmtId="164" fontId="9" fillId="4" borderId="133" xfId="0" applyNumberFormat="1" applyFont="1" applyFill="1" applyBorder="1" applyAlignment="1">
      <alignment horizontal="right" vertical="center" wrapText="1" indent="1"/>
    </xf>
    <xf numFmtId="164" fontId="9" fillId="4" borderId="168" xfId="0" applyNumberFormat="1" applyFont="1" applyFill="1" applyBorder="1" applyAlignment="1">
      <alignment horizontal="right" vertical="center" wrapText="1" indent="1"/>
    </xf>
    <xf numFmtId="165" fontId="9" fillId="4" borderId="133" xfId="0" applyNumberFormat="1" applyFont="1" applyFill="1" applyBorder="1" applyAlignment="1">
      <alignment horizontal="right" vertical="center" wrapText="1" indent="1"/>
    </xf>
    <xf numFmtId="164" fontId="10" fillId="4" borderId="70" xfId="0" applyNumberFormat="1" applyFont="1" applyFill="1" applyBorder="1" applyAlignment="1">
      <alignment horizontal="right" vertical="center" wrapText="1" indent="1"/>
    </xf>
    <xf numFmtId="164" fontId="10" fillId="4" borderId="19" xfId="0" applyNumberFormat="1" applyFont="1" applyFill="1" applyBorder="1" applyAlignment="1">
      <alignment horizontal="right" vertical="center" wrapText="1" indent="1"/>
    </xf>
    <xf numFmtId="164" fontId="10" fillId="4" borderId="18" xfId="0" applyNumberFormat="1" applyFont="1" applyFill="1" applyBorder="1" applyAlignment="1">
      <alignment horizontal="right" vertical="center" wrapText="1" indent="1"/>
    </xf>
    <xf numFmtId="165" fontId="10" fillId="4" borderId="19" xfId="0" applyNumberFormat="1" applyFont="1" applyFill="1" applyBorder="1" applyAlignment="1">
      <alignment horizontal="right" vertical="center" wrapText="1" indent="1"/>
    </xf>
    <xf numFmtId="0" fontId="18" fillId="4" borderId="0" xfId="0" applyFont="1" applyFill="1" applyAlignment="1">
      <alignment vertical="center" wrapText="1"/>
    </xf>
    <xf numFmtId="164" fontId="15" fillId="4" borderId="47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Alignment="1">
      <alignment horizontal="right" vertical="center" wrapText="1"/>
    </xf>
    <xf numFmtId="164" fontId="15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3" fontId="15" fillId="3" borderId="48" xfId="0" applyNumberFormat="1" applyFont="1" applyFill="1" applyBorder="1" applyAlignment="1">
      <alignment horizontal="right" vertical="center" wrapText="1"/>
    </xf>
    <xf numFmtId="164" fontId="19" fillId="4" borderId="47" xfId="0" applyNumberFormat="1" applyFont="1" applyFill="1" applyBorder="1" applyAlignment="1">
      <alignment horizontal="right" vertical="center" wrapText="1" indent="1"/>
    </xf>
    <xf numFmtId="164" fontId="15" fillId="3" borderId="0" xfId="0" applyNumberFormat="1" applyFont="1" applyFill="1" applyAlignment="1">
      <alignment horizontal="right" vertical="center" wrapText="1" indent="1"/>
    </xf>
    <xf numFmtId="164" fontId="19" fillId="4" borderId="0" xfId="0" applyNumberFormat="1" applyFont="1" applyFill="1" applyAlignment="1">
      <alignment horizontal="right" vertical="center" wrapText="1" indent="1"/>
    </xf>
    <xf numFmtId="164" fontId="15" fillId="3" borderId="48" xfId="0" applyNumberFormat="1" applyFont="1" applyFill="1" applyBorder="1" applyAlignment="1">
      <alignment horizontal="right" vertical="center" wrapText="1" indent="1"/>
    </xf>
    <xf numFmtId="3" fontId="15" fillId="4" borderId="0" xfId="0" applyNumberFormat="1" applyFont="1" applyFill="1" applyAlignment="1">
      <alignment horizontal="right" vertical="center" wrapText="1" indent="1"/>
    </xf>
    <xf numFmtId="164" fontId="15" fillId="4" borderId="47" xfId="0" applyNumberFormat="1" applyFont="1" applyFill="1" applyBorder="1" applyAlignment="1">
      <alignment horizontal="right" vertical="center" wrapText="1" indent="1"/>
    </xf>
    <xf numFmtId="164" fontId="15" fillId="4" borderId="0" xfId="2" applyNumberFormat="1" applyFont="1" applyFill="1" applyBorder="1" applyAlignment="1">
      <alignment horizontal="right" vertical="center" wrapText="1" indent="1"/>
    </xf>
    <xf numFmtId="0" fontId="18" fillId="4" borderId="49" xfId="0" applyFont="1" applyFill="1" applyBorder="1" applyAlignment="1">
      <alignment vertical="center" wrapText="1"/>
    </xf>
    <xf numFmtId="164" fontId="18" fillId="4" borderId="50" xfId="0" applyNumberFormat="1" applyFont="1" applyFill="1" applyBorder="1" applyAlignment="1">
      <alignment horizontal="right" vertical="center" wrapText="1" indent="1"/>
    </xf>
    <xf numFmtId="164" fontId="18" fillId="3" borderId="49" xfId="0" applyNumberFormat="1" applyFont="1" applyFill="1" applyBorder="1" applyAlignment="1">
      <alignment horizontal="right" vertical="center" wrapText="1" indent="1"/>
    </xf>
    <xf numFmtId="164" fontId="18" fillId="4" borderId="49" xfId="0" applyNumberFormat="1" applyFont="1" applyFill="1" applyBorder="1" applyAlignment="1">
      <alignment horizontal="right" vertical="center" wrapText="1" indent="1"/>
    </xf>
    <xf numFmtId="164" fontId="18" fillId="3" borderId="51" xfId="0" applyNumberFormat="1" applyFont="1" applyFill="1" applyBorder="1" applyAlignment="1">
      <alignment horizontal="right" vertical="center" wrapText="1" indent="1"/>
    </xf>
    <xf numFmtId="3" fontId="18" fillId="4" borderId="49" xfId="0" applyNumberFormat="1" applyFont="1" applyFill="1" applyBorder="1" applyAlignment="1">
      <alignment horizontal="right" vertical="center" wrapText="1" indent="1"/>
    </xf>
    <xf numFmtId="164" fontId="18" fillId="4" borderId="47" xfId="0" applyNumberFormat="1" applyFont="1" applyFill="1" applyBorder="1" applyAlignment="1">
      <alignment horizontal="right" vertical="center" wrapText="1" indent="1"/>
    </xf>
    <xf numFmtId="164" fontId="18" fillId="4" borderId="0" xfId="0" applyNumberFormat="1" applyFont="1" applyFill="1" applyAlignment="1">
      <alignment horizontal="right" vertical="center" wrapText="1" indent="1"/>
    </xf>
    <xf numFmtId="0" fontId="18" fillId="4" borderId="52" xfId="0" applyFont="1" applyFill="1" applyBorder="1" applyAlignment="1">
      <alignment vertical="center" wrapText="1"/>
    </xf>
    <xf numFmtId="164" fontId="18" fillId="4" borderId="53" xfId="2" applyNumberFormat="1" applyFont="1" applyFill="1" applyBorder="1" applyAlignment="1">
      <alignment horizontal="right" vertical="center" wrapText="1" indent="1"/>
    </xf>
    <xf numFmtId="3" fontId="18" fillId="3" borderId="52" xfId="2" applyNumberFormat="1" applyFont="1" applyFill="1" applyBorder="1" applyAlignment="1">
      <alignment horizontal="right" vertical="center" wrapText="1" indent="1"/>
    </xf>
    <xf numFmtId="164" fontId="18" fillId="4" borderId="52" xfId="2" applyNumberFormat="1" applyFont="1" applyFill="1" applyBorder="1" applyAlignment="1">
      <alignment horizontal="right" vertical="center" wrapText="1" indent="1"/>
    </xf>
    <xf numFmtId="3" fontId="18" fillId="3" borderId="54" xfId="2" applyNumberFormat="1" applyFont="1" applyFill="1" applyBorder="1" applyAlignment="1">
      <alignment horizontal="right" vertical="center" wrapText="1" indent="1"/>
    </xf>
    <xf numFmtId="1" fontId="18" fillId="4" borderId="52" xfId="0" applyNumberFormat="1" applyFont="1" applyFill="1" applyBorder="1" applyAlignment="1">
      <alignment horizontal="right" vertical="center" wrapText="1" indent="1"/>
    </xf>
    <xf numFmtId="1" fontId="10" fillId="3" borderId="56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left" vertical="center" wrapText="1"/>
    </xf>
    <xf numFmtId="165" fontId="9" fillId="3" borderId="56" xfId="0" applyNumberFormat="1" applyFont="1" applyFill="1" applyBorder="1" applyAlignment="1">
      <alignment horizontal="right" vertical="center" wrapText="1"/>
    </xf>
    <xf numFmtId="164" fontId="17" fillId="4" borderId="63" xfId="0" applyNumberFormat="1" applyFont="1" applyFill="1" applyBorder="1" applyAlignment="1">
      <alignment horizontal="right" vertical="center" wrapText="1"/>
    </xf>
    <xf numFmtId="164" fontId="10" fillId="4" borderId="123" xfId="0" applyNumberFormat="1" applyFont="1" applyFill="1" applyBorder="1" applyAlignment="1">
      <alignment horizontal="right" vertical="center" wrapText="1"/>
    </xf>
    <xf numFmtId="165" fontId="10" fillId="3" borderId="124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164" fontId="79" fillId="4" borderId="63" xfId="0" applyNumberFormat="1" applyFont="1" applyFill="1" applyBorder="1" applyAlignment="1">
      <alignment horizontal="right" vertical="center" wrapText="1"/>
    </xf>
    <xf numFmtId="3" fontId="79" fillId="4" borderId="0" xfId="0" applyNumberFormat="1" applyFont="1" applyFill="1" applyBorder="1" applyAlignment="1">
      <alignment horizontal="right" vertical="center" wrapText="1"/>
    </xf>
    <xf numFmtId="164" fontId="79" fillId="4" borderId="0" xfId="0" applyNumberFormat="1" applyFont="1" applyFill="1" applyBorder="1" applyAlignment="1">
      <alignment horizontal="right" vertical="center" wrapText="1"/>
    </xf>
    <xf numFmtId="3" fontId="79" fillId="4" borderId="56" xfId="0" applyNumberFormat="1" applyFont="1" applyFill="1" applyBorder="1" applyAlignment="1">
      <alignment horizontal="right" vertical="center" wrapText="1"/>
    </xf>
    <xf numFmtId="164" fontId="80" fillId="4" borderId="63" xfId="0" applyNumberFormat="1" applyFont="1" applyFill="1" applyBorder="1" applyAlignment="1">
      <alignment horizontal="right" vertical="center" wrapText="1"/>
    </xf>
    <xf numFmtId="164" fontId="80" fillId="4" borderId="0" xfId="0" applyNumberFormat="1" applyFont="1" applyFill="1" applyBorder="1" applyAlignment="1">
      <alignment horizontal="right" vertical="center" wrapText="1"/>
    </xf>
    <xf numFmtId="164" fontId="79" fillId="4" borderId="56" xfId="0" applyNumberFormat="1" applyFont="1" applyFill="1" applyBorder="1" applyAlignment="1">
      <alignment horizontal="right" vertical="center" wrapText="1"/>
    </xf>
    <xf numFmtId="3" fontId="79" fillId="4" borderId="0" xfId="0" applyNumberFormat="1" applyFont="1" applyFill="1" applyAlignment="1">
      <alignment horizontal="right" vertical="center" wrapText="1"/>
    </xf>
    <xf numFmtId="164" fontId="81" fillId="4" borderId="74" xfId="0" applyNumberFormat="1" applyFont="1" applyFill="1" applyBorder="1" applyAlignment="1">
      <alignment horizontal="right" vertical="center" wrapText="1"/>
    </xf>
    <xf numFmtId="164" fontId="81" fillId="4" borderId="73" xfId="0" applyNumberFormat="1" applyFont="1" applyFill="1" applyBorder="1" applyAlignment="1">
      <alignment horizontal="right" vertical="center" wrapText="1"/>
    </xf>
    <xf numFmtId="164" fontId="81" fillId="4" borderId="75" xfId="0" applyNumberFormat="1" applyFont="1" applyFill="1" applyBorder="1" applyAlignment="1">
      <alignment horizontal="right" vertical="center" wrapText="1"/>
    </xf>
    <xf numFmtId="3" fontId="81" fillId="4" borderId="73" xfId="0" applyNumberFormat="1" applyFont="1" applyFill="1" applyBorder="1" applyAlignment="1">
      <alignment horizontal="right" vertical="center" wrapText="1"/>
    </xf>
    <xf numFmtId="164" fontId="81" fillId="4" borderId="63" xfId="0" applyNumberFormat="1" applyFont="1" applyFill="1" applyBorder="1" applyAlignment="1">
      <alignment horizontal="right" vertical="center" wrapText="1"/>
    </xf>
    <xf numFmtId="164" fontId="81" fillId="4" borderId="0" xfId="0" applyNumberFormat="1" applyFont="1" applyFill="1" applyBorder="1" applyAlignment="1">
      <alignment horizontal="right" vertical="center" wrapText="1"/>
    </xf>
    <xf numFmtId="164" fontId="81" fillId="3" borderId="72" xfId="2" applyNumberFormat="1" applyFont="1" applyFill="1" applyBorder="1" applyAlignment="1">
      <alignment vertical="center" wrapText="1"/>
    </xf>
    <xf numFmtId="3" fontId="81" fillId="3" borderId="64" xfId="2" applyNumberFormat="1" applyFont="1" applyFill="1" applyBorder="1" applyAlignment="1">
      <alignment vertical="center" wrapText="1"/>
    </xf>
    <xf numFmtId="164" fontId="81" fillId="3" borderId="64" xfId="2" applyNumberFormat="1" applyFont="1" applyFill="1" applyBorder="1" applyAlignment="1">
      <alignment vertical="center" wrapText="1"/>
    </xf>
    <xf numFmtId="3" fontId="81" fillId="3" borderId="65" xfId="2" applyNumberFormat="1" applyFont="1" applyFill="1" applyBorder="1" applyAlignment="1">
      <alignment vertical="center" wrapText="1"/>
    </xf>
    <xf numFmtId="1" fontId="81" fillId="3" borderId="64" xfId="0" applyNumberFormat="1" applyFont="1" applyFill="1" applyBorder="1" applyAlignment="1">
      <alignment horizontal="right" vertical="center" wrapText="1"/>
    </xf>
    <xf numFmtId="164" fontId="82" fillId="3" borderId="8" xfId="7" applyNumberFormat="1" applyFont="1" applyFill="1" applyBorder="1" applyAlignment="1">
      <alignment horizontal="right" vertical="center" wrapText="1" indent="1"/>
    </xf>
    <xf numFmtId="164" fontId="82" fillId="4" borderId="80" xfId="7" applyNumberFormat="1" applyFont="1" applyFill="1" applyBorder="1" applyAlignment="1">
      <alignment horizontal="right" vertical="center" wrapText="1" indent="1"/>
    </xf>
    <xf numFmtId="164" fontId="82" fillId="4" borderId="0" xfId="7" applyNumberFormat="1" applyFont="1" applyFill="1" applyAlignment="1">
      <alignment horizontal="right" vertical="center" wrapText="1" indent="1"/>
    </xf>
    <xf numFmtId="49" fontId="10" fillId="0" borderId="32" xfId="0" applyNumberFormat="1" applyFont="1" applyFill="1" applyBorder="1" applyAlignment="1">
      <alignment horizontal="right" vertical="center" wrapText="1" indent="1"/>
    </xf>
    <xf numFmtId="0" fontId="74" fillId="0" borderId="169" xfId="0" applyFont="1" applyFill="1" applyBorder="1" applyAlignment="1">
      <alignment vertical="center" wrapText="1"/>
    </xf>
    <xf numFmtId="0" fontId="73" fillId="0" borderId="170" xfId="0" applyFont="1" applyFill="1" applyBorder="1" applyAlignment="1">
      <alignment vertical="center"/>
    </xf>
    <xf numFmtId="164" fontId="82" fillId="4" borderId="101" xfId="7" applyNumberFormat="1" applyFont="1" applyFill="1" applyBorder="1" applyAlignment="1">
      <alignment horizontal="right" vertical="center" wrapText="1" indent="1"/>
    </xf>
    <xf numFmtId="164" fontId="82" fillId="4" borderId="94" xfId="7" applyNumberFormat="1" applyFont="1" applyFill="1" applyBorder="1" applyAlignment="1">
      <alignment horizontal="right" vertical="center" wrapText="1" indent="1"/>
    </xf>
    <xf numFmtId="164" fontId="82" fillId="3" borderId="94" xfId="7" applyNumberFormat="1" applyFont="1" applyFill="1" applyBorder="1" applyAlignment="1">
      <alignment horizontal="right" vertical="center" wrapText="1" indent="1"/>
    </xf>
    <xf numFmtId="164" fontId="82" fillId="3" borderId="87" xfId="7" applyNumberFormat="1" applyFont="1" applyFill="1" applyBorder="1" applyAlignment="1">
      <alignment horizontal="right" vertical="center" wrapText="1" indent="1"/>
    </xf>
    <xf numFmtId="164" fontId="7" fillId="4" borderId="47" xfId="7" applyNumberFormat="1" applyFont="1" applyFill="1" applyBorder="1" applyAlignment="1">
      <alignment horizontal="right" vertical="center" wrapText="1" indent="1"/>
    </xf>
    <xf numFmtId="164" fontId="7" fillId="3" borderId="48" xfId="7" applyNumberFormat="1" applyFont="1" applyFill="1" applyBorder="1" applyAlignment="1">
      <alignment horizontal="right" vertical="center" wrapText="1" indent="1"/>
    </xf>
    <xf numFmtId="164" fontId="19" fillId="4" borderId="106" xfId="7" applyNumberFormat="1" applyFont="1" applyFill="1" applyBorder="1" applyAlignment="1">
      <alignment horizontal="right" vertical="center" wrapText="1" indent="1"/>
    </xf>
    <xf numFmtId="164" fontId="19" fillId="3" borderId="107" xfId="7" applyNumberFormat="1" applyFont="1" applyFill="1" applyBorder="1" applyAlignment="1">
      <alignment horizontal="right" vertical="center" wrapText="1" indent="1"/>
    </xf>
    <xf numFmtId="164" fontId="82" fillId="4" borderId="50" xfId="7" applyNumberFormat="1" applyFont="1" applyFill="1" applyBorder="1" applyAlignment="1">
      <alignment horizontal="right" vertical="center" wrapText="1" indent="1"/>
    </xf>
    <xf numFmtId="164" fontId="82" fillId="4" borderId="49" xfId="7" applyNumberFormat="1" applyFont="1" applyFill="1" applyBorder="1" applyAlignment="1">
      <alignment horizontal="right" vertical="center" wrapText="1" indent="1"/>
    </xf>
    <xf numFmtId="164" fontId="82" fillId="3" borderId="51" xfId="7" applyNumberFormat="1" applyFont="1" applyFill="1" applyBorder="1" applyAlignment="1">
      <alignment horizontal="right" vertical="center" wrapText="1" indent="1"/>
    </xf>
    <xf numFmtId="164" fontId="82" fillId="3" borderId="49" xfId="7" applyNumberFormat="1" applyFont="1" applyFill="1" applyBorder="1" applyAlignment="1">
      <alignment horizontal="right" vertical="center" wrapText="1" indent="1"/>
    </xf>
    <xf numFmtId="164" fontId="82" fillId="4" borderId="93" xfId="7" applyNumberFormat="1" applyFont="1" applyFill="1" applyBorder="1" applyAlignment="1">
      <alignment horizontal="right" vertical="center" wrapText="1" indent="1"/>
    </xf>
    <xf numFmtId="164" fontId="7" fillId="4" borderId="0" xfId="7" applyNumberFormat="1" applyFont="1" applyFill="1" applyBorder="1" applyAlignment="1">
      <alignment horizontal="right" vertical="center" wrapText="1" indent="1"/>
    </xf>
    <xf numFmtId="164" fontId="7" fillId="4" borderId="95" xfId="7" applyNumberFormat="1" applyFont="1" applyFill="1" applyBorder="1" applyAlignment="1">
      <alignment horizontal="right" vertical="center" wrapText="1" indent="1"/>
    </xf>
    <xf numFmtId="164" fontId="69" fillId="4" borderId="47" xfId="7" applyNumberFormat="1" applyFont="1" applyFill="1" applyBorder="1" applyAlignment="1">
      <alignment horizontal="right" vertical="center" wrapText="1" indent="1"/>
    </xf>
    <xf numFmtId="164" fontId="69" fillId="4" borderId="0" xfId="7" applyNumberFormat="1" applyFont="1" applyFill="1" applyBorder="1" applyAlignment="1">
      <alignment horizontal="right" vertical="center" wrapText="1" indent="1"/>
    </xf>
    <xf numFmtId="164" fontId="69" fillId="3" borderId="48" xfId="7" applyNumberFormat="1" applyFont="1" applyFill="1" applyBorder="1" applyAlignment="1">
      <alignment horizontal="right" vertical="center" wrapText="1" indent="1"/>
    </xf>
    <xf numFmtId="164" fontId="69" fillId="4" borderId="95" xfId="7" applyNumberFormat="1" applyFont="1" applyFill="1" applyBorder="1" applyAlignment="1">
      <alignment horizontal="right" vertical="center" wrapText="1" indent="1"/>
    </xf>
    <xf numFmtId="164" fontId="7" fillId="4" borderId="102" xfId="7" applyNumberFormat="1" applyFont="1" applyFill="1" applyBorder="1" applyAlignment="1">
      <alignment horizontal="right" vertical="center" wrapText="1" indent="1"/>
    </xf>
    <xf numFmtId="164" fontId="7" fillId="3" borderId="103" xfId="7" applyNumberFormat="1" applyFont="1" applyFill="1" applyBorder="1" applyAlignment="1">
      <alignment horizontal="right" vertical="center" wrapText="1" indent="1"/>
    </xf>
    <xf numFmtId="164" fontId="7" fillId="4" borderId="96" xfId="7" applyNumberFormat="1" applyFont="1" applyFill="1" applyBorder="1" applyAlignment="1">
      <alignment horizontal="right" vertical="center" wrapText="1" indent="1"/>
    </xf>
    <xf numFmtId="164" fontId="82" fillId="4" borderId="104" xfId="7" applyNumberFormat="1" applyFont="1" applyFill="1" applyBorder="1" applyAlignment="1">
      <alignment horizontal="right" vertical="center" wrapText="1"/>
    </xf>
    <xf numFmtId="164" fontId="82" fillId="4" borderId="8" xfId="7" applyNumberFormat="1" applyFont="1" applyFill="1" applyBorder="1" applyAlignment="1">
      <alignment horizontal="right" vertical="center" wrapText="1"/>
    </xf>
    <xf numFmtId="164" fontId="82" fillId="3" borderId="105" xfId="7" applyNumberFormat="1" applyFont="1" applyFill="1" applyBorder="1" applyAlignment="1">
      <alignment horizontal="right" vertical="center" wrapText="1" indent="1"/>
    </xf>
    <xf numFmtId="164" fontId="82" fillId="4" borderId="79" xfId="7" applyNumberFormat="1" applyFont="1" applyFill="1" applyBorder="1" applyAlignment="1">
      <alignment horizontal="right" vertical="center" wrapText="1"/>
    </xf>
    <xf numFmtId="164" fontId="7" fillId="4" borderId="47" xfId="7" applyNumberFormat="1" applyFont="1" applyFill="1" applyBorder="1" applyAlignment="1">
      <alignment horizontal="right" vertical="center" wrapText="1"/>
    </xf>
    <xf numFmtId="164" fontId="7" fillId="4" borderId="0" xfId="7" applyNumberFormat="1" applyFont="1" applyFill="1" applyBorder="1" applyAlignment="1">
      <alignment horizontal="right" vertical="center" wrapText="1"/>
    </xf>
    <xf numFmtId="164" fontId="7" fillId="4" borderId="80" xfId="7" applyNumberFormat="1" applyFont="1" applyFill="1" applyBorder="1" applyAlignment="1">
      <alignment horizontal="right" vertical="center" wrapText="1"/>
    </xf>
    <xf numFmtId="164" fontId="47" fillId="4" borderId="47" xfId="7" applyNumberFormat="1" applyFont="1" applyFill="1" applyBorder="1" applyAlignment="1">
      <alignment horizontal="right" vertical="center" wrapText="1"/>
    </xf>
    <xf numFmtId="164" fontId="47" fillId="4" borderId="0" xfId="7" applyNumberFormat="1" applyFont="1" applyFill="1" applyBorder="1" applyAlignment="1">
      <alignment horizontal="right" vertical="center" wrapText="1"/>
    </xf>
    <xf numFmtId="164" fontId="47" fillId="4" borderId="80" xfId="7" applyNumberFormat="1" applyFont="1" applyFill="1" applyBorder="1" applyAlignment="1">
      <alignment horizontal="right" vertical="center" wrapText="1"/>
    </xf>
    <xf numFmtId="164" fontId="19" fillId="4" borderId="106" xfId="7" applyNumberFormat="1" applyFont="1" applyFill="1" applyBorder="1" applyAlignment="1">
      <alignment horizontal="right" vertical="center" wrapText="1"/>
    </xf>
    <xf numFmtId="164" fontId="19" fillId="4" borderId="97" xfId="7" applyNumberFormat="1" applyFont="1" applyFill="1" applyBorder="1" applyAlignment="1">
      <alignment horizontal="right" vertical="center" wrapText="1"/>
    </xf>
    <xf numFmtId="164" fontId="19" fillId="4" borderId="98" xfId="7" applyNumberFormat="1" applyFont="1" applyFill="1" applyBorder="1" applyAlignment="1">
      <alignment horizontal="right" vertical="center" wrapText="1"/>
    </xf>
    <xf numFmtId="4" fontId="2" fillId="4" borderId="25" xfId="3" applyNumberFormat="1" applyFont="1" applyFill="1" applyBorder="1" applyAlignment="1">
      <alignment horizontal="right" vertical="center" wrapText="1" indent="1"/>
    </xf>
    <xf numFmtId="4" fontId="2" fillId="4" borderId="0" xfId="3" applyNumberFormat="1" applyFont="1" applyFill="1" applyAlignment="1">
      <alignment horizontal="right" vertical="center" wrapText="1" indent="1"/>
    </xf>
    <xf numFmtId="4" fontId="2" fillId="4" borderId="17" xfId="3" applyNumberFormat="1" applyFont="1" applyFill="1" applyBorder="1" applyAlignment="1">
      <alignment horizontal="right" vertical="center" wrapText="1" indent="1"/>
    </xf>
    <xf numFmtId="4" fontId="2" fillId="4" borderId="24" xfId="3" applyNumberFormat="1" applyFont="1" applyFill="1" applyBorder="1" applyAlignment="1">
      <alignment horizontal="right" vertical="center" wrapText="1" indent="1"/>
    </xf>
    <xf numFmtId="4" fontId="2" fillId="4" borderId="16" xfId="3" applyNumberFormat="1" applyFont="1" applyFill="1" applyBorder="1" applyAlignment="1">
      <alignment horizontal="right" vertical="center" wrapText="1" indent="1"/>
    </xf>
    <xf numFmtId="4" fontId="2" fillId="4" borderId="15" xfId="3" applyNumberFormat="1" applyFont="1" applyFill="1" applyBorder="1" applyAlignment="1">
      <alignment horizontal="right" vertical="center" wrapText="1" indent="1"/>
    </xf>
    <xf numFmtId="4" fontId="23" fillId="4" borderId="25" xfId="3" applyNumberFormat="1" applyFont="1" applyFill="1" applyBorder="1" applyAlignment="1">
      <alignment horizontal="right" vertical="center" wrapText="1" indent="1"/>
    </xf>
    <xf numFmtId="4" fontId="23" fillId="4" borderId="0" xfId="3" applyNumberFormat="1" applyFont="1" applyFill="1" applyAlignment="1">
      <alignment horizontal="right" vertical="center" wrapText="1" indent="1"/>
    </xf>
    <xf numFmtId="4" fontId="23" fillId="4" borderId="17" xfId="3" applyNumberFormat="1" applyFont="1" applyFill="1" applyBorder="1" applyAlignment="1">
      <alignment horizontal="right" vertical="center" wrapText="1" indent="1"/>
    </xf>
    <xf numFmtId="4" fontId="23" fillId="4" borderId="27" xfId="3" applyNumberFormat="1" applyFont="1" applyFill="1" applyBorder="1" applyAlignment="1">
      <alignment horizontal="right" vertical="center" wrapText="1" indent="1"/>
    </xf>
    <xf numFmtId="4" fontId="23" fillId="4" borderId="26" xfId="3" applyNumberFormat="1" applyFont="1" applyFill="1" applyBorder="1" applyAlignment="1">
      <alignment horizontal="right" vertical="center" wrapText="1" indent="1"/>
    </xf>
    <xf numFmtId="4" fontId="23" fillId="4" borderId="28" xfId="3" applyNumberFormat="1" applyFont="1" applyFill="1" applyBorder="1" applyAlignment="1">
      <alignment horizontal="right" vertical="center" wrapText="1" indent="1"/>
    </xf>
    <xf numFmtId="4" fontId="5" fillId="4" borderId="25" xfId="3" applyNumberFormat="1" applyFont="1" applyFill="1" applyBorder="1" applyAlignment="1">
      <alignment horizontal="right" vertical="center" wrapText="1" indent="1"/>
    </xf>
    <xf numFmtId="4" fontId="5" fillId="4" borderId="0" xfId="3" applyNumberFormat="1" applyFont="1" applyFill="1" applyAlignment="1">
      <alignment horizontal="right" vertical="center" wrapText="1" indent="1"/>
    </xf>
    <xf numFmtId="4" fontId="5" fillId="4" borderId="17" xfId="3" applyNumberFormat="1" applyFont="1" applyFill="1" applyBorder="1" applyAlignment="1">
      <alignment horizontal="right" vertical="center" wrapText="1" indent="1"/>
    </xf>
    <xf numFmtId="4" fontId="22" fillId="4" borderId="27" xfId="3" applyNumberFormat="1" applyFont="1" applyFill="1" applyBorder="1" applyAlignment="1">
      <alignment horizontal="right" vertical="center" wrapText="1" indent="1"/>
    </xf>
    <xf numFmtId="4" fontId="22" fillId="4" borderId="26" xfId="3" applyNumberFormat="1" applyFont="1" applyFill="1" applyBorder="1" applyAlignment="1">
      <alignment horizontal="right" vertical="center" wrapText="1" indent="1"/>
    </xf>
    <xf numFmtId="4" fontId="22" fillId="4" borderId="28" xfId="3" applyNumberFormat="1" applyFont="1" applyFill="1" applyBorder="1" applyAlignment="1">
      <alignment horizontal="right" vertical="center" wrapText="1" indent="1"/>
    </xf>
    <xf numFmtId="4" fontId="22" fillId="4" borderId="25" xfId="3" applyNumberFormat="1" applyFont="1" applyFill="1" applyBorder="1" applyAlignment="1">
      <alignment horizontal="right" vertical="center" wrapText="1" indent="1"/>
    </xf>
    <xf numFmtId="4" fontId="22" fillId="4" borderId="0" xfId="3" applyNumberFormat="1" applyFont="1" applyFill="1" applyAlignment="1">
      <alignment horizontal="right" vertical="center" wrapText="1" indent="1"/>
    </xf>
    <xf numFmtId="4" fontId="22" fillId="4" borderId="17" xfId="3" applyNumberFormat="1" applyFont="1" applyFill="1" applyBorder="1" applyAlignment="1">
      <alignment horizontal="right" vertical="center" wrapText="1" indent="1"/>
    </xf>
    <xf numFmtId="4" fontId="5" fillId="4" borderId="24" xfId="3" applyNumberFormat="1" applyFont="1" applyFill="1" applyBorder="1" applyAlignment="1">
      <alignment horizontal="right" vertical="center" wrapText="1" indent="1"/>
    </xf>
    <xf numFmtId="4" fontId="5" fillId="4" borderId="16" xfId="3" applyNumberFormat="1" applyFont="1" applyFill="1" applyBorder="1" applyAlignment="1">
      <alignment horizontal="right" vertical="center" wrapText="1" indent="1"/>
    </xf>
    <xf numFmtId="4" fontId="5" fillId="4" borderId="15" xfId="3" applyNumberFormat="1" applyFont="1" applyFill="1" applyBorder="1" applyAlignment="1">
      <alignment horizontal="right" vertical="center" wrapText="1" indent="1"/>
    </xf>
    <xf numFmtId="4" fontId="5" fillId="4" borderId="38" xfId="3" applyNumberFormat="1" applyFont="1" applyFill="1" applyBorder="1" applyAlignment="1">
      <alignment horizontal="right" vertical="center" wrapText="1" indent="1"/>
    </xf>
    <xf numFmtId="4" fontId="5" fillId="4" borderId="21" xfId="3" applyNumberFormat="1" applyFont="1" applyFill="1" applyBorder="1" applyAlignment="1">
      <alignment horizontal="right" vertical="center" wrapText="1" indent="1"/>
    </xf>
    <xf numFmtId="4" fontId="5" fillId="4" borderId="20" xfId="3" applyNumberFormat="1" applyFont="1" applyFill="1" applyBorder="1" applyAlignment="1">
      <alignment horizontal="right" vertical="center" wrapText="1" indent="1"/>
    </xf>
    <xf numFmtId="49" fontId="23" fillId="0" borderId="0" xfId="0" applyNumberFormat="1" applyFont="1" applyAlignment="1">
      <alignment horizontal="right" vertical="center"/>
    </xf>
    <xf numFmtId="49" fontId="10" fillId="4" borderId="0" xfId="0" applyNumberFormat="1" applyFont="1" applyFill="1" applyBorder="1" applyAlignment="1">
      <alignment horizontal="right" vertical="center" wrapText="1"/>
    </xf>
    <xf numFmtId="164" fontId="7" fillId="3" borderId="0" xfId="7" applyNumberFormat="1" applyFont="1" applyFill="1" applyBorder="1" applyAlignment="1">
      <alignment horizontal="right" vertical="center" wrapText="1" indent="1"/>
    </xf>
    <xf numFmtId="164" fontId="69" fillId="3" borderId="0" xfId="7" applyNumberFormat="1" applyFont="1" applyFill="1" applyBorder="1" applyAlignment="1">
      <alignment horizontal="right" vertical="center" wrapText="1" indent="1"/>
    </xf>
    <xf numFmtId="164" fontId="7" fillId="3" borderId="97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82" fillId="4" borderId="0" xfId="7" applyNumberFormat="1" applyFont="1" applyFill="1" applyBorder="1" applyAlignment="1">
      <alignment horizontal="right" vertical="center" wrapText="1" indent="1"/>
    </xf>
    <xf numFmtId="164" fontId="82" fillId="3" borderId="48" xfId="7" applyNumberFormat="1" applyFont="1" applyFill="1" applyBorder="1" applyAlignment="1">
      <alignment horizontal="right" vertical="center" wrapText="1" indent="1"/>
    </xf>
    <xf numFmtId="2" fontId="7" fillId="3" borderId="48" xfId="7" applyNumberFormat="1" applyFont="1" applyFill="1" applyBorder="1" applyAlignment="1">
      <alignment horizontal="right" vertical="center" wrapText="1" indent="1"/>
    </xf>
    <xf numFmtId="164" fontId="82" fillId="4" borderId="47" xfId="7" applyNumberFormat="1" applyFont="1" applyFill="1" applyBorder="1" applyAlignment="1">
      <alignment horizontal="right" vertical="center" wrapText="1" indent="1"/>
    </xf>
    <xf numFmtId="14" fontId="19" fillId="4" borderId="171" xfId="7" applyNumberFormat="1" applyFont="1" applyFill="1" applyBorder="1" applyAlignment="1">
      <alignment horizontal="center" vertical="center" wrapText="1"/>
    </xf>
    <xf numFmtId="0" fontId="19" fillId="4" borderId="172" xfId="7" applyFont="1" applyFill="1" applyBorder="1" applyAlignment="1">
      <alignment horizontal="center" vertical="center" wrapText="1"/>
    </xf>
    <xf numFmtId="0" fontId="19" fillId="4" borderId="173" xfId="7" applyFont="1" applyFill="1" applyBorder="1" applyAlignment="1">
      <alignment horizontal="center" vertical="center" wrapText="1"/>
    </xf>
    <xf numFmtId="14" fontId="19" fillId="4" borderId="172" xfId="7" applyNumberFormat="1" applyFont="1" applyFill="1" applyBorder="1" applyAlignment="1">
      <alignment horizontal="center" vertical="center" wrapText="1"/>
    </xf>
    <xf numFmtId="49" fontId="68" fillId="4" borderId="33" xfId="7" applyNumberFormat="1" applyFont="1" applyFill="1" applyBorder="1" applyAlignment="1">
      <alignment horizontal="left" wrapText="1"/>
    </xf>
    <xf numFmtId="164" fontId="82" fillId="4" borderId="174" xfId="7" applyNumberFormat="1" applyFont="1" applyFill="1" applyBorder="1" applyAlignment="1">
      <alignment horizontal="right" vertical="center" wrapText="1" indent="1"/>
    </xf>
    <xf numFmtId="164" fontId="82" fillId="4" borderId="33" xfId="7" applyNumberFormat="1" applyFont="1" applyFill="1" applyBorder="1" applyAlignment="1">
      <alignment horizontal="right" vertical="center" wrapText="1" indent="1"/>
    </xf>
    <xf numFmtId="164" fontId="82" fillId="3" borderId="175" xfId="7" applyNumberFormat="1" applyFont="1" applyFill="1" applyBorder="1" applyAlignment="1">
      <alignment horizontal="right" vertical="center" wrapText="1" indent="1"/>
    </xf>
    <xf numFmtId="164" fontId="82" fillId="4" borderId="176" xfId="7" applyNumberFormat="1" applyFont="1" applyFill="1" applyBorder="1" applyAlignment="1">
      <alignment horizontal="right" vertical="center" wrapText="1" indent="1"/>
    </xf>
    <xf numFmtId="2" fontId="82" fillId="3" borderId="175" xfId="7" applyNumberFormat="1" applyFont="1" applyFill="1" applyBorder="1" applyAlignment="1">
      <alignment horizontal="right" vertical="center" wrapText="1" indent="1"/>
    </xf>
    <xf numFmtId="2" fontId="82" fillId="3" borderId="33" xfId="7" applyNumberFormat="1" applyFont="1" applyFill="1" applyBorder="1" applyAlignment="1">
      <alignment horizontal="right" vertical="center" wrapText="1" indent="1"/>
    </xf>
    <xf numFmtId="49" fontId="47" fillId="4" borderId="0" xfId="7" applyNumberFormat="1" applyFont="1" applyFill="1" applyBorder="1" applyAlignment="1">
      <alignment horizontal="left" vertical="center" wrapText="1" indent="1"/>
    </xf>
    <xf numFmtId="49" fontId="47" fillId="4" borderId="32" xfId="7" applyNumberFormat="1" applyFont="1" applyFill="1" applyBorder="1" applyAlignment="1">
      <alignment horizontal="left" vertical="center" wrapText="1" indent="1"/>
    </xf>
    <xf numFmtId="164" fontId="7" fillId="4" borderId="177" xfId="7" applyNumberFormat="1" applyFont="1" applyFill="1" applyBorder="1" applyAlignment="1">
      <alignment horizontal="right" vertical="center" wrapText="1" indent="1"/>
    </xf>
    <xf numFmtId="164" fontId="7" fillId="4" borderId="32" xfId="7" applyNumberFormat="1" applyFont="1" applyFill="1" applyBorder="1" applyAlignment="1">
      <alignment horizontal="right" vertical="center" wrapText="1" indent="1"/>
    </xf>
    <xf numFmtId="164" fontId="7" fillId="3" borderId="178" xfId="7" applyNumberFormat="1" applyFont="1" applyFill="1" applyBorder="1" applyAlignment="1">
      <alignment horizontal="right" vertical="center" wrapText="1" indent="1"/>
    </xf>
    <xf numFmtId="164" fontId="7" fillId="4" borderId="179" xfId="7" applyNumberFormat="1" applyFont="1" applyFill="1" applyBorder="1" applyAlignment="1">
      <alignment horizontal="right" vertical="center" wrapText="1" indent="1"/>
    </xf>
    <xf numFmtId="2" fontId="7" fillId="3" borderId="178" xfId="7" applyNumberFormat="1" applyFont="1" applyFill="1" applyBorder="1" applyAlignment="1">
      <alignment horizontal="right" vertical="center" wrapText="1" indent="1"/>
    </xf>
    <xf numFmtId="2" fontId="7" fillId="3" borderId="32" xfId="7" applyNumberFormat="1" applyFont="1" applyFill="1" applyBorder="1" applyAlignment="1">
      <alignment horizontal="right" vertical="center" wrapText="1" indent="1"/>
    </xf>
    <xf numFmtId="49" fontId="68" fillId="4" borderId="0" xfId="7" applyNumberFormat="1" applyFont="1" applyFill="1" applyBorder="1" applyAlignment="1">
      <alignment horizontal="left" wrapText="1"/>
    </xf>
    <xf numFmtId="164" fontId="82" fillId="3" borderId="0" xfId="7" applyNumberFormat="1" applyFont="1" applyFill="1" applyBorder="1" applyAlignment="1">
      <alignment horizontal="right" vertical="center" wrapText="1" indent="1"/>
    </xf>
    <xf numFmtId="164" fontId="82" fillId="3" borderId="33" xfId="7" applyNumberFormat="1" applyFont="1" applyFill="1" applyBorder="1" applyAlignment="1">
      <alignment horizontal="right" vertical="center" wrapText="1" indent="1"/>
    </xf>
    <xf numFmtId="164" fontId="7" fillId="3" borderId="32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5" fillId="4" borderId="2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vertical="center"/>
    </xf>
    <xf numFmtId="0" fontId="83" fillId="4" borderId="94" xfId="7" applyFont="1" applyFill="1" applyBorder="1" applyAlignment="1">
      <alignment vertical="center" wrapText="1"/>
    </xf>
    <xf numFmtId="164" fontId="51" fillId="4" borderId="101" xfId="7" applyNumberFormat="1" applyFont="1" applyFill="1" applyBorder="1" applyAlignment="1">
      <alignment horizontal="right" vertical="center" wrapText="1" indent="1"/>
    </xf>
    <xf numFmtId="164" fontId="51" fillId="4" borderId="94" xfId="7" applyNumberFormat="1" applyFont="1" applyFill="1" applyBorder="1" applyAlignment="1">
      <alignment horizontal="right" vertical="center" wrapText="1" indent="1"/>
    </xf>
    <xf numFmtId="164" fontId="51" fillId="3" borderId="94" xfId="7" applyNumberFormat="1" applyFont="1" applyFill="1" applyBorder="1" applyAlignment="1">
      <alignment horizontal="right" vertical="center" wrapText="1" indent="1"/>
    </xf>
    <xf numFmtId="164" fontId="51" fillId="3" borderId="87" xfId="7" applyNumberFormat="1" applyFont="1" applyFill="1" applyBorder="1" applyAlignment="1">
      <alignment horizontal="right" vertical="center" wrapText="1" indent="1"/>
    </xf>
    <xf numFmtId="49" fontId="84" fillId="4" borderId="0" xfId="7" applyNumberFormat="1" applyFont="1" applyFill="1" applyAlignment="1">
      <alignment horizontal="left" vertical="center" wrapText="1" indent="2"/>
    </xf>
    <xf numFmtId="164" fontId="50" fillId="4" borderId="47" xfId="7" applyNumberFormat="1" applyFont="1" applyFill="1" applyBorder="1" applyAlignment="1">
      <alignment horizontal="right" vertical="center" wrapText="1" indent="1"/>
    </xf>
    <xf numFmtId="164" fontId="50" fillId="4" borderId="0" xfId="7" applyNumberFormat="1" applyFont="1" applyFill="1" applyAlignment="1">
      <alignment horizontal="right" vertical="center" wrapText="1" indent="1"/>
    </xf>
    <xf numFmtId="164" fontId="50" fillId="3" borderId="0" xfId="7" applyNumberFormat="1" applyFont="1" applyFill="1" applyAlignment="1">
      <alignment horizontal="right" vertical="center" wrapText="1" indent="1"/>
    </xf>
    <xf numFmtId="164" fontId="50" fillId="4" borderId="0" xfId="7" applyNumberFormat="1" applyFont="1" applyFill="1" applyBorder="1" applyAlignment="1">
      <alignment horizontal="right" vertical="center" wrapText="1" indent="1"/>
    </xf>
    <xf numFmtId="164" fontId="50" fillId="3" borderId="48" xfId="7" applyNumberFormat="1" applyFont="1" applyFill="1" applyBorder="1" applyAlignment="1">
      <alignment horizontal="right" vertical="center" wrapText="1" indent="1"/>
    </xf>
    <xf numFmtId="49" fontId="84" fillId="4" borderId="43" xfId="7" applyNumberFormat="1" applyFont="1" applyFill="1" applyBorder="1" applyAlignment="1">
      <alignment horizontal="left" vertical="center" wrapText="1" indent="2"/>
    </xf>
    <xf numFmtId="164" fontId="50" fillId="4" borderId="44" xfId="7" applyNumberFormat="1" applyFont="1" applyFill="1" applyBorder="1" applyAlignment="1">
      <alignment horizontal="right" vertical="center" wrapText="1" indent="1"/>
    </xf>
    <xf numFmtId="164" fontId="50" fillId="4" borderId="43" xfId="7" applyNumberFormat="1" applyFont="1" applyFill="1" applyBorder="1" applyAlignment="1">
      <alignment horizontal="right" vertical="center" wrapText="1" indent="1"/>
    </xf>
    <xf numFmtId="49" fontId="83" fillId="4" borderId="87" xfId="7" applyNumberFormat="1" applyFont="1" applyFill="1" applyBorder="1" applyAlignment="1">
      <alignment horizontal="left" vertical="center" wrapText="1" indent="1"/>
    </xf>
    <xf numFmtId="49" fontId="84" fillId="4" borderId="48" xfId="7" applyNumberFormat="1" applyFont="1" applyFill="1" applyBorder="1" applyAlignment="1">
      <alignment horizontal="left" vertical="center" wrapText="1" indent="2"/>
    </xf>
    <xf numFmtId="164" fontId="84" fillId="4" borderId="0" xfId="7" applyNumberFormat="1" applyFont="1" applyFill="1" applyAlignment="1">
      <alignment horizontal="right" vertical="center" wrapText="1" indent="1"/>
    </xf>
    <xf numFmtId="49" fontId="84" fillId="4" borderId="45" xfId="7" applyNumberFormat="1" applyFont="1" applyFill="1" applyBorder="1" applyAlignment="1">
      <alignment horizontal="left" vertical="center" wrapText="1" indent="2"/>
    </xf>
    <xf numFmtId="164" fontId="84" fillId="4" borderId="44" xfId="7" applyNumberFormat="1" applyFont="1" applyFill="1" applyBorder="1" applyAlignment="1">
      <alignment horizontal="right" vertical="center" wrapText="1" indent="1"/>
    </xf>
    <xf numFmtId="164" fontId="84" fillId="4" borderId="43" xfId="7" applyNumberFormat="1" applyFont="1" applyFill="1" applyBorder="1" applyAlignment="1">
      <alignment horizontal="right" vertical="center" wrapText="1" indent="1"/>
    </xf>
    <xf numFmtId="49" fontId="83" fillId="4" borderId="94" xfId="7" applyNumberFormat="1" applyFont="1" applyFill="1" applyBorder="1" applyAlignment="1">
      <alignment horizontal="left" vertical="center" wrapText="1" indent="1"/>
    </xf>
    <xf numFmtId="49" fontId="84" fillId="4" borderId="97" xfId="7" applyNumberFormat="1" applyFont="1" applyFill="1" applyBorder="1" applyAlignment="1">
      <alignment horizontal="left" vertical="center" wrapText="1" indent="2"/>
    </xf>
    <xf numFmtId="164" fontId="85" fillId="4" borderId="106" xfId="7" applyNumberFormat="1" applyFont="1" applyFill="1" applyBorder="1" applyAlignment="1">
      <alignment horizontal="right" vertical="center" wrapText="1" indent="1"/>
    </xf>
    <xf numFmtId="164" fontId="85" fillId="4" borderId="97" xfId="7" applyNumberFormat="1" applyFont="1" applyFill="1" applyBorder="1" applyAlignment="1">
      <alignment horizontal="right" vertical="center" wrapText="1" indent="1"/>
    </xf>
    <xf numFmtId="164" fontId="50" fillId="3" borderId="107" xfId="7" applyNumberFormat="1" applyFont="1" applyFill="1" applyBorder="1" applyAlignment="1">
      <alignment horizontal="right" vertical="center" wrapText="1" indent="1"/>
    </xf>
    <xf numFmtId="14" fontId="85" fillId="4" borderId="91" xfId="7" applyNumberFormat="1" applyFont="1" applyFill="1" applyBorder="1" applyAlignment="1">
      <alignment horizontal="center" vertical="center" wrapText="1"/>
    </xf>
    <xf numFmtId="0" fontId="85" fillId="4" borderId="92" xfId="7" applyFont="1" applyFill="1" applyBorder="1" applyAlignment="1">
      <alignment horizontal="center" vertical="center" wrapText="1"/>
    </xf>
    <xf numFmtId="0" fontId="85" fillId="4" borderId="100" xfId="7" applyFont="1" applyFill="1" applyBorder="1" applyAlignment="1">
      <alignment horizontal="center" vertical="center" wrapText="1"/>
    </xf>
    <xf numFmtId="14" fontId="85" fillId="4" borderId="92" xfId="7" applyNumberFormat="1" applyFont="1" applyFill="1" applyBorder="1" applyAlignment="1">
      <alignment horizontal="center" vertical="center" wrapText="1"/>
    </xf>
    <xf numFmtId="3" fontId="18" fillId="4" borderId="26" xfId="0" applyNumberFormat="1" applyFont="1" applyFill="1" applyBorder="1" applyAlignment="1">
      <alignment horizontal="right" vertical="center" wrapText="1" indent="1"/>
    </xf>
    <xf numFmtId="14" fontId="15" fillId="4" borderId="0" xfId="0" applyNumberFormat="1" applyFont="1" applyFill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 vertical="center" wrapText="1" indent="1"/>
    </xf>
    <xf numFmtId="164" fontId="15" fillId="4" borderId="17" xfId="0" applyNumberFormat="1" applyFont="1" applyFill="1" applyBorder="1" applyAlignment="1">
      <alignment horizontal="right" vertical="center" wrapText="1" indent="1"/>
    </xf>
    <xf numFmtId="0" fontId="18" fillId="4" borderId="26" xfId="0" applyFont="1" applyFill="1" applyBorder="1" applyAlignment="1">
      <alignment horizontal="right" vertical="center" wrapText="1" indent="1"/>
    </xf>
    <xf numFmtId="3" fontId="18" fillId="4" borderId="27" xfId="0" applyNumberFormat="1" applyFont="1" applyFill="1" applyBorder="1" applyAlignment="1">
      <alignment horizontal="right" vertical="center" wrapText="1" indent="1"/>
    </xf>
    <xf numFmtId="164" fontId="18" fillId="4" borderId="28" xfId="0" applyNumberFormat="1" applyFont="1" applyFill="1" applyBorder="1" applyAlignment="1">
      <alignment horizontal="right" vertical="center" wrapText="1" indent="1"/>
    </xf>
    <xf numFmtId="3" fontId="17" fillId="4" borderId="160" xfId="0" applyNumberFormat="1" applyFont="1" applyFill="1" applyBorder="1" applyAlignment="1">
      <alignment horizontal="right" vertical="center" wrapText="1"/>
    </xf>
    <xf numFmtId="0" fontId="62" fillId="4" borderId="157" xfId="0" applyFont="1" applyFill="1" applyBorder="1" applyAlignment="1">
      <alignment horizontal="left" vertical="center" wrapText="1"/>
    </xf>
    <xf numFmtId="0" fontId="62" fillId="4" borderId="154" xfId="0" applyFont="1" applyFill="1" applyBorder="1" applyAlignment="1">
      <alignment horizontal="left" vertical="center" wrapText="1"/>
    </xf>
    <xf numFmtId="164" fontId="62" fillId="4" borderId="157" xfId="0" applyNumberFormat="1" applyFont="1" applyFill="1" applyBorder="1" applyAlignment="1">
      <alignment horizontal="left" vertical="center" wrapText="1" indent="1"/>
    </xf>
    <xf numFmtId="0" fontId="62" fillId="4" borderId="151" xfId="0" applyFont="1" applyFill="1" applyBorder="1" applyAlignment="1">
      <alignment horizontal="left" vertical="center" wrapText="1"/>
    </xf>
    <xf numFmtId="164" fontId="62" fillId="4" borderId="154" xfId="0" applyNumberFormat="1" applyFont="1" applyFill="1" applyBorder="1" applyAlignment="1">
      <alignment horizontal="left" vertical="center" wrapText="1" indent="1"/>
    </xf>
    <xf numFmtId="164" fontId="62" fillId="4" borderId="151" xfId="0" applyNumberFormat="1" applyFont="1" applyFill="1" applyBorder="1" applyAlignment="1">
      <alignment horizontal="left" vertical="center" wrapText="1" indent="1"/>
    </xf>
    <xf numFmtId="0" fontId="62" fillId="4" borderId="180" xfId="0" applyFont="1" applyFill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/>
    <xf numFmtId="0" fontId="0" fillId="0" borderId="0" xfId="0"/>
    <xf numFmtId="0" fontId="29" fillId="0" borderId="6" xfId="29" applyFont="1" applyBorder="1"/>
    <xf numFmtId="0" fontId="29" fillId="0" borderId="4" xfId="7" applyFont="1" applyBorder="1" applyAlignment="1">
      <alignment horizontal="center" vertical="center" wrapText="1"/>
    </xf>
    <xf numFmtId="0" fontId="33" fillId="0" borderId="5" xfId="14" applyFont="1" applyBorder="1" applyAlignment="1">
      <alignment horizontal="center" vertical="center"/>
    </xf>
    <xf numFmtId="0" fontId="24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30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49" fontId="10" fillId="4" borderId="66" xfId="0" applyNumberFormat="1" applyFont="1" applyFill="1" applyBorder="1" applyAlignment="1">
      <alignment horizontal="center" vertical="center" wrapText="1"/>
    </xf>
    <xf numFmtId="49" fontId="10" fillId="4" borderId="67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 wrapText="1"/>
    </xf>
    <xf numFmtId="0" fontId="54" fillId="4" borderId="43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49" fontId="17" fillId="4" borderId="71" xfId="0" applyNumberFormat="1" applyFont="1" applyFill="1" applyBorder="1" applyAlignment="1">
      <alignment horizontal="center" vertical="center" wrapText="1"/>
    </xf>
    <xf numFmtId="49" fontId="17" fillId="4" borderId="67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49" fontId="10" fillId="4" borderId="119" xfId="0" applyNumberFormat="1" applyFont="1" applyFill="1" applyBorder="1" applyAlignment="1">
      <alignment horizontal="center" vertical="center" wrapText="1"/>
    </xf>
    <xf numFmtId="49" fontId="10" fillId="4" borderId="12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12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82" xfId="0" applyFont="1" applyFill="1" applyBorder="1" applyAlignment="1">
      <alignment horizontal="center" vertical="center" wrapText="1"/>
    </xf>
    <xf numFmtId="0" fontId="12" fillId="4" borderId="82" xfId="0" applyFont="1" applyFill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5" fillId="4" borderId="0" xfId="0" applyFont="1" applyFill="1" applyBorder="1" applyAlignment="1">
      <alignment horizontal="center" vertical="center" wrapText="1"/>
    </xf>
    <xf numFmtId="0" fontId="66" fillId="4" borderId="32" xfId="0" applyFont="1" applyFill="1" applyBorder="1" applyAlignment="1">
      <alignment horizontal="center" vertical="center" wrapText="1"/>
    </xf>
    <xf numFmtId="49" fontId="65" fillId="4" borderId="59" xfId="0" applyNumberFormat="1" applyFont="1" applyFill="1" applyBorder="1" applyAlignment="1">
      <alignment horizontal="center" vertical="center" wrapText="1"/>
    </xf>
    <xf numFmtId="49" fontId="66" fillId="4" borderId="60" xfId="0" applyNumberFormat="1" applyFont="1" applyFill="1" applyBorder="1" applyAlignment="1">
      <alignment horizontal="center" vertical="center" wrapText="1"/>
    </xf>
    <xf numFmtId="49" fontId="66" fillId="4" borderId="61" xfId="0" applyNumberFormat="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49" fontId="10" fillId="4" borderId="59" xfId="0" applyNumberFormat="1" applyFont="1" applyFill="1" applyBorder="1" applyAlignment="1">
      <alignment horizontal="center" vertical="center" wrapText="1"/>
    </xf>
    <xf numFmtId="49" fontId="17" fillId="4" borderId="60" xfId="0" applyNumberFormat="1" applyFont="1" applyFill="1" applyBorder="1" applyAlignment="1">
      <alignment horizontal="center" vertical="center" wrapText="1"/>
    </xf>
    <xf numFmtId="49" fontId="17" fillId="4" borderId="61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9" fontId="23" fillId="4" borderId="31" xfId="0" applyNumberFormat="1" applyFont="1" applyFill="1" applyBorder="1" applyAlignment="1">
      <alignment horizontal="center" vertical="center" wrapText="1"/>
    </xf>
    <xf numFmtId="49" fontId="23" fillId="4" borderId="3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7" fillId="0" borderId="86" xfId="0" applyFont="1" applyBorder="1" applyAlignment="1">
      <alignment horizontal="left" vertical="center" wrapText="1"/>
    </xf>
    <xf numFmtId="49" fontId="70" fillId="4" borderId="88" xfId="7" applyNumberFormat="1" applyFont="1" applyFill="1" applyBorder="1" applyAlignment="1">
      <alignment horizontal="center" vertical="center" wrapText="1"/>
    </xf>
    <xf numFmtId="49" fontId="70" fillId="4" borderId="89" xfId="7" applyNumberFormat="1" applyFont="1" applyFill="1" applyBorder="1" applyAlignment="1">
      <alignment horizontal="center" vertical="center" wrapText="1"/>
    </xf>
    <xf numFmtId="49" fontId="70" fillId="4" borderId="90" xfId="7" applyNumberFormat="1" applyFont="1" applyFill="1" applyBorder="1" applyAlignment="1">
      <alignment horizontal="center" vertical="center" wrapText="1"/>
    </xf>
    <xf numFmtId="0" fontId="70" fillId="4" borderId="94" xfId="7" applyFont="1" applyFill="1" applyBorder="1" applyAlignment="1">
      <alignment horizontal="center" vertical="center" wrapText="1"/>
    </xf>
    <xf numFmtId="0" fontId="70" fillId="4" borderId="43" xfId="7" applyFont="1" applyFill="1" applyBorder="1" applyAlignment="1">
      <alignment horizontal="center" vertical="center" wrapText="1"/>
    </xf>
    <xf numFmtId="0" fontId="71" fillId="0" borderId="86" xfId="7" applyFont="1" applyBorder="1"/>
    <xf numFmtId="0" fontId="0" fillId="0" borderId="86" xfId="0" applyBorder="1"/>
    <xf numFmtId="49" fontId="86" fillId="4" borderId="101" xfId="7" applyNumberFormat="1" applyFont="1" applyFill="1" applyBorder="1" applyAlignment="1">
      <alignment horizontal="center" vertical="center" wrapText="1"/>
    </xf>
    <xf numFmtId="49" fontId="85" fillId="4" borderId="94" xfId="7" applyNumberFormat="1" applyFont="1" applyFill="1" applyBorder="1" applyAlignment="1">
      <alignment horizontal="center" vertical="center" wrapText="1"/>
    </xf>
    <xf numFmtId="49" fontId="85" fillId="4" borderId="87" xfId="7" applyNumberFormat="1" applyFont="1" applyFill="1" applyBorder="1" applyAlignment="1">
      <alignment horizontal="center" vertical="center" wrapText="1"/>
    </xf>
    <xf numFmtId="49" fontId="86" fillId="4" borderId="94" xfId="7" applyNumberFormat="1" applyFont="1" applyFill="1" applyBorder="1" applyAlignment="1">
      <alignment horizontal="center" vertical="center" wrapText="1"/>
    </xf>
    <xf numFmtId="0" fontId="86" fillId="4" borderId="87" xfId="7" applyFont="1" applyFill="1" applyBorder="1" applyAlignment="1">
      <alignment horizontal="center" vertical="center" wrapText="1"/>
    </xf>
    <xf numFmtId="0" fontId="86" fillId="4" borderId="45" xfId="7" applyFont="1" applyFill="1" applyBorder="1" applyAlignment="1">
      <alignment horizontal="center" vertical="center" wrapText="1"/>
    </xf>
    <xf numFmtId="0" fontId="61" fillId="4" borderId="48" xfId="7" applyFont="1" applyFill="1" applyBorder="1" applyAlignment="1">
      <alignment horizontal="center" vertical="center" wrapText="1"/>
    </xf>
    <xf numFmtId="49" fontId="17" fillId="4" borderId="88" xfId="7" applyNumberFormat="1" applyFont="1" applyFill="1" applyBorder="1" applyAlignment="1">
      <alignment horizontal="center" vertical="center" wrapText="1"/>
    </xf>
    <xf numFmtId="49" fontId="17" fillId="4" borderId="89" xfId="7" applyNumberFormat="1" applyFont="1" applyFill="1" applyBorder="1" applyAlignment="1">
      <alignment horizontal="center" vertical="center" wrapText="1"/>
    </xf>
    <xf numFmtId="49" fontId="17" fillId="4" borderId="90" xfId="7" applyNumberFormat="1" applyFont="1" applyFill="1" applyBorder="1" applyAlignment="1">
      <alignment horizontal="center" vertical="center" wrapText="1"/>
    </xf>
    <xf numFmtId="0" fontId="17" fillId="4" borderId="89" xfId="7" applyNumberFormat="1" applyFont="1" applyFill="1" applyBorder="1" applyAlignment="1">
      <alignment horizontal="center" vertical="center" wrapText="1"/>
    </xf>
    <xf numFmtId="0" fontId="75" fillId="0" borderId="108" xfId="7" applyFont="1" applyBorder="1" applyAlignment="1">
      <alignment wrapText="1"/>
    </xf>
    <xf numFmtId="0" fontId="0" fillId="0" borderId="108" xfId="0" applyBorder="1"/>
    <xf numFmtId="0" fontId="22" fillId="4" borderId="17" xfId="3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 wrapText="1"/>
    </xf>
    <xf numFmtId="0" fontId="49" fillId="4" borderId="23" xfId="3" applyFont="1" applyFill="1" applyBorder="1" applyAlignment="1">
      <alignment horizontal="center" vertical="center" wrapText="1"/>
    </xf>
    <xf numFmtId="0" fontId="49" fillId="4" borderId="34" xfId="3" applyFont="1" applyFill="1" applyBorder="1" applyAlignment="1">
      <alignment horizontal="center" vertical="center" wrapText="1"/>
    </xf>
    <xf numFmtId="49" fontId="22" fillId="4" borderId="31" xfId="3" applyNumberFormat="1" applyFont="1" applyFill="1" applyBorder="1" applyAlignment="1">
      <alignment horizontal="center" vertical="center" wrapText="1"/>
    </xf>
    <xf numFmtId="49" fontId="22" fillId="4" borderId="29" xfId="3" applyNumberFormat="1" applyFont="1" applyFill="1" applyBorder="1" applyAlignment="1">
      <alignment horizontal="center" vertical="center" wrapText="1"/>
    </xf>
    <xf numFmtId="49" fontId="22" fillId="4" borderId="30" xfId="3" applyNumberFormat="1" applyFont="1" applyFill="1" applyBorder="1" applyAlignment="1">
      <alignment horizontal="center" vertical="center" wrapText="1"/>
    </xf>
    <xf numFmtId="0" fontId="49" fillId="4" borderId="22" xfId="3" applyFont="1" applyFill="1" applyBorder="1" applyAlignment="1">
      <alignment horizontal="center" vertical="center" wrapText="1"/>
    </xf>
    <xf numFmtId="0" fontId="75" fillId="0" borderId="108" xfId="7" applyFont="1" applyBorder="1"/>
    <xf numFmtId="49" fontId="22" fillId="4" borderId="109" xfId="3" applyNumberFormat="1" applyFont="1" applyFill="1" applyBorder="1" applyAlignment="1">
      <alignment horizontal="center" vertical="center" wrapText="1"/>
    </xf>
    <xf numFmtId="49" fontId="22" fillId="4" borderId="110" xfId="3" applyNumberFormat="1" applyFont="1" applyFill="1" applyBorder="1" applyAlignment="1">
      <alignment horizontal="center" vertical="center" wrapText="1"/>
    </xf>
    <xf numFmtId="49" fontId="22" fillId="4" borderId="111" xfId="3" applyNumberFormat="1" applyFont="1" applyFill="1" applyBorder="1" applyAlignment="1">
      <alignment horizontal="center" vertical="center" wrapText="1"/>
    </xf>
    <xf numFmtId="0" fontId="49" fillId="4" borderId="113" xfId="3" applyFont="1" applyFill="1" applyBorder="1" applyAlignment="1">
      <alignment horizontal="center" vertical="center" wrapText="1"/>
    </xf>
    <xf numFmtId="0" fontId="49" fillId="4" borderId="114" xfId="3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9" fillId="4" borderId="112" xfId="3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4" borderId="0" xfId="7" applyFont="1" applyFill="1" applyAlignment="1">
      <alignment horizontal="center" vertical="center" wrapText="1"/>
    </xf>
    <xf numFmtId="0" fontId="15" fillId="4" borderId="16" xfId="7" applyFont="1" applyFill="1" applyBorder="1" applyAlignment="1">
      <alignment horizontal="center" vertical="center" wrapText="1"/>
    </xf>
    <xf numFmtId="0" fontId="10" fillId="4" borderId="0" xfId="7" applyFont="1" applyFill="1" applyAlignment="1">
      <alignment horizontal="center" vertical="center" wrapText="1"/>
    </xf>
    <xf numFmtId="0" fontId="10" fillId="4" borderId="16" xfId="7" applyFont="1" applyFill="1" applyBorder="1" applyAlignment="1">
      <alignment horizontal="center" vertical="center" wrapText="1"/>
    </xf>
    <xf numFmtId="49" fontId="10" fillId="4" borderId="16" xfId="7" applyNumberFormat="1" applyFont="1" applyFill="1" applyBorder="1" applyAlignment="1">
      <alignment horizontal="center" vertical="center" wrapText="1"/>
    </xf>
    <xf numFmtId="49" fontId="10" fillId="4" borderId="15" xfId="7" applyNumberFormat="1" applyFont="1" applyFill="1" applyBorder="1" applyAlignment="1">
      <alignment horizontal="center" vertical="center" wrapText="1"/>
    </xf>
    <xf numFmtId="49" fontId="10" fillId="4" borderId="24" xfId="7" applyNumberFormat="1" applyFont="1" applyFill="1" applyBorder="1" applyAlignment="1">
      <alignment horizontal="center" vertical="center" wrapText="1"/>
    </xf>
    <xf numFmtId="0" fontId="76" fillId="3" borderId="108" xfId="7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3" fillId="4" borderId="146" xfId="0" applyFont="1" applyFill="1" applyBorder="1" applyAlignment="1">
      <alignment horizontal="center" vertical="center" wrapText="1"/>
    </xf>
    <xf numFmtId="49" fontId="23" fillId="4" borderId="147" xfId="0" applyNumberFormat="1" applyFont="1" applyFill="1" applyBorder="1" applyAlignment="1">
      <alignment horizontal="center" vertical="center" wrapText="1"/>
    </xf>
    <xf numFmtId="49" fontId="2" fillId="4" borderId="147" xfId="0" applyNumberFormat="1" applyFont="1" applyFill="1" applyBorder="1" applyAlignment="1">
      <alignment horizontal="center" vertical="center" wrapText="1"/>
    </xf>
    <xf numFmtId="49" fontId="2" fillId="4" borderId="148" xfId="0" applyNumberFormat="1" applyFont="1" applyFill="1" applyBorder="1" applyAlignment="1">
      <alignment horizontal="center" vertical="center" wrapText="1"/>
    </xf>
    <xf numFmtId="0" fontId="23" fillId="4" borderId="117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4" borderId="132" xfId="0" applyFont="1" applyFill="1" applyBorder="1" applyAlignment="1">
      <alignment horizontal="center" vertical="center" wrapText="1"/>
    </xf>
    <xf numFmtId="0" fontId="9" fillId="4" borderId="1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</cellXfs>
  <cellStyles count="30">
    <cellStyle name="Comma 2" xfId="4" xr:uid="{00000000-0005-0000-0000-000000000000}"/>
    <cellStyle name="Comma 3" xfId="5" xr:uid="{00000000-0005-0000-0000-000001000000}"/>
    <cellStyle name="Hyperlink" xfId="1" builtinId="8"/>
    <cellStyle name="Hyperlink 2" xfId="8" xr:uid="{00000000-0005-0000-0000-000003000000}"/>
    <cellStyle name="Normal" xfId="0" builtinId="0"/>
    <cellStyle name="Normal 10" xfId="24" xr:uid="{5D1FE4AA-26BC-4A22-940A-FBFF561C8366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14134912-DA20-4A41-B69A-3A20799A88A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2" xfId="19" xr:uid="{00000000-0005-0000-0000-000013000000}"/>
    <cellStyle name="Standard 3" xfId="26" xr:uid="{B976B9B0-D525-447C-AA99-883A3A3FD061}"/>
  </cellStyles>
  <dxfs count="12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CC"/>
      <color rgb="FFFF6565"/>
      <color rgb="FFFFFF99"/>
      <color rgb="FFFF4B4B"/>
      <color rgb="FF800000"/>
      <color rgb="FFC4C13F"/>
      <color rgb="FFDADF21"/>
      <color rgb="FFA50021"/>
      <color rgb="FFC7B639"/>
      <color rgb="FFC7A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2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0</xdr:row>
      <xdr:rowOff>19050</xdr:rowOff>
    </xdr:from>
    <xdr:to>
      <xdr:col>6</xdr:col>
      <xdr:colOff>527050</xdr:colOff>
      <xdr:row>0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646430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9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1</xdr:row>
      <xdr:rowOff>44450</xdr:rowOff>
    </xdr:from>
    <xdr:to>
      <xdr:col>7</xdr:col>
      <xdr:colOff>463550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78422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6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7</xdr:col>
      <xdr:colOff>431800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697230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5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8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7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A00-000003000000}"/>
            </a:ext>
          </a:extLst>
        </xdr:cNvPr>
        <xdr:cNvSpPr/>
      </xdr:nvSpPr>
      <xdr:spPr>
        <a:xfrm>
          <a:off x="6356350" y="190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D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222250</xdr:colOff>
      <xdr:row>1</xdr:row>
      <xdr:rowOff>63500</xdr:rowOff>
    </xdr:from>
    <xdr:to>
      <xdr:col>8</xdr:col>
      <xdr:colOff>527050</xdr:colOff>
      <xdr:row>2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646430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44" customWidth="1"/>
    <col min="2" max="2" width="15" style="44" customWidth="1"/>
    <col min="3" max="3" width="56.140625" style="44" customWidth="1"/>
    <col min="4" max="4" width="13.5703125" style="44" customWidth="1"/>
    <col min="5" max="5" width="13.7109375" style="44" customWidth="1"/>
    <col min="6" max="7" width="9.140625" style="44"/>
    <col min="8" max="8" width="6.85546875" style="44" customWidth="1"/>
    <col min="9" max="9" width="4.7109375" style="44" customWidth="1"/>
    <col min="10" max="10" width="2.85546875" style="44" customWidth="1"/>
    <col min="11" max="16384" width="9.140625" style="44"/>
  </cols>
  <sheetData>
    <row r="1" spans="1:8" ht="25.5" customHeight="1" thickBot="1" x14ac:dyDescent="0.3">
      <c r="A1" s="763" t="s">
        <v>197</v>
      </c>
      <c r="B1" s="763"/>
      <c r="C1" s="763"/>
      <c r="D1" s="763"/>
      <c r="E1" s="763"/>
    </row>
    <row r="2" spans="1:8" ht="15.75" thickTop="1" x14ac:dyDescent="0.25"/>
    <row r="4" spans="1:8" ht="15.75" x14ac:dyDescent="0.25">
      <c r="H4" s="18"/>
    </row>
    <row r="5" spans="1:8" ht="19.5" x14ac:dyDescent="0.25">
      <c r="A5" s="764" t="s">
        <v>220</v>
      </c>
      <c r="B5" s="764"/>
      <c r="C5" s="764"/>
      <c r="D5" s="764"/>
      <c r="E5" s="764"/>
    </row>
    <row r="6" spans="1:8" ht="15.75" x14ac:dyDescent="0.25">
      <c r="B6" s="18"/>
      <c r="C6" s="45"/>
      <c r="H6" s="19"/>
    </row>
    <row r="7" spans="1:8" x14ac:dyDescent="0.25">
      <c r="C7" s="45"/>
    </row>
    <row r="8" spans="1:8" ht="17.25" x14ac:dyDescent="0.25">
      <c r="B8" s="20"/>
      <c r="C8" s="58" t="s">
        <v>528</v>
      </c>
    </row>
    <row r="11" spans="1:8" x14ac:dyDescent="0.25">
      <c r="A11" s="762" t="s">
        <v>572</v>
      </c>
      <c r="B11" s="761"/>
      <c r="C11" s="761"/>
      <c r="D11" s="761"/>
      <c r="E11" s="761"/>
    </row>
    <row r="12" spans="1:8" x14ac:dyDescent="0.25">
      <c r="A12" s="765" t="s">
        <v>573</v>
      </c>
      <c r="B12" s="766"/>
      <c r="C12" s="766"/>
      <c r="D12" s="766"/>
      <c r="E12" s="766"/>
    </row>
    <row r="13" spans="1:8" x14ac:dyDescent="0.25">
      <c r="A13" s="766"/>
      <c r="B13" s="766"/>
      <c r="C13" s="766"/>
      <c r="D13" s="766"/>
      <c r="E13" s="766"/>
    </row>
    <row r="14" spans="1:8" x14ac:dyDescent="0.25">
      <c r="A14" s="766"/>
      <c r="B14" s="766"/>
      <c r="C14" s="766"/>
      <c r="D14" s="766"/>
      <c r="E14" s="766"/>
    </row>
    <row r="15" spans="1:8" x14ac:dyDescent="0.25">
      <c r="A15" s="766"/>
      <c r="B15" s="766"/>
      <c r="C15" s="766"/>
      <c r="D15" s="766"/>
      <c r="E15" s="766"/>
    </row>
    <row r="19" spans="2:2" x14ac:dyDescent="0.25">
      <c r="B19" s="21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50" customWidth="1"/>
    <col min="2" max="2" width="7.28515625" style="50" customWidth="1"/>
    <col min="3" max="3" width="5.28515625" style="50" customWidth="1"/>
    <col min="4" max="4" width="7.28515625" style="50" customWidth="1"/>
    <col min="5" max="5" width="5.28515625" style="50" customWidth="1"/>
    <col min="6" max="6" width="7.28515625" style="50" customWidth="1"/>
    <col min="7" max="7" width="5.28515625" style="50" customWidth="1"/>
    <col min="8" max="8" width="7.28515625" style="50" customWidth="1"/>
    <col min="9" max="9" width="5.28515625" style="50" customWidth="1"/>
    <col min="10" max="10" width="7.28515625" style="50" customWidth="1"/>
    <col min="11" max="11" width="5.28515625" style="50" customWidth="1"/>
    <col min="12" max="12" width="7.28515625" style="50" customWidth="1"/>
    <col min="13" max="13" width="5.28515625" style="50" customWidth="1"/>
    <col min="14" max="14" width="6.28515625" style="159" customWidth="1"/>
  </cols>
  <sheetData>
    <row r="1" spans="1:14" s="50" customFormat="1" ht="14.45" hidden="1" customHeight="1" x14ac:dyDescent="0.25">
      <c r="N1" s="159"/>
    </row>
    <row r="2" spans="1:14" s="15" customFormat="1" x14ac:dyDescent="0.25">
      <c r="A2" s="50"/>
      <c r="B2" s="29"/>
      <c r="C2" s="29"/>
      <c r="D2" s="29"/>
      <c r="E2" s="29"/>
      <c r="F2" s="29"/>
      <c r="G2" s="29"/>
      <c r="H2" s="29"/>
      <c r="I2" s="29"/>
      <c r="J2" s="50"/>
      <c r="K2" s="50"/>
      <c r="L2" s="50"/>
      <c r="M2" s="50"/>
      <c r="N2" s="159"/>
    </row>
    <row r="3" spans="1:14" x14ac:dyDescent="0.25">
      <c r="A3" s="157" t="s">
        <v>384</v>
      </c>
      <c r="B3" s="450"/>
      <c r="C3" s="450"/>
      <c r="D3" s="450"/>
      <c r="E3" s="450"/>
      <c r="F3" s="450"/>
      <c r="G3" s="450"/>
      <c r="H3" s="450"/>
      <c r="I3" s="450"/>
      <c r="J3" s="150"/>
      <c r="K3" s="150"/>
      <c r="L3" s="150"/>
      <c r="M3" s="150"/>
      <c r="N3" s="443" t="s">
        <v>399</v>
      </c>
    </row>
    <row r="4" spans="1:14" ht="15" customHeight="1" x14ac:dyDescent="0.25">
      <c r="A4" s="768" t="s">
        <v>12</v>
      </c>
      <c r="B4" s="781" t="s">
        <v>530</v>
      </c>
      <c r="C4" s="790"/>
      <c r="D4" s="790"/>
      <c r="E4" s="790"/>
      <c r="F4" s="790"/>
      <c r="G4" s="790"/>
      <c r="H4" s="781" t="s">
        <v>531</v>
      </c>
      <c r="I4" s="790"/>
      <c r="J4" s="790"/>
      <c r="K4" s="790"/>
      <c r="L4" s="790"/>
      <c r="M4" s="791"/>
      <c r="N4" s="787" t="s">
        <v>11</v>
      </c>
    </row>
    <row r="5" spans="1:14" ht="36" x14ac:dyDescent="0.25">
      <c r="A5" s="789"/>
      <c r="B5" s="186" t="s">
        <v>45</v>
      </c>
      <c r="C5" s="187" t="s">
        <v>3</v>
      </c>
      <c r="D5" s="187" t="s">
        <v>136</v>
      </c>
      <c r="E5" s="187" t="s">
        <v>3</v>
      </c>
      <c r="F5" s="187" t="s">
        <v>41</v>
      </c>
      <c r="G5" s="187" t="s">
        <v>3</v>
      </c>
      <c r="H5" s="186" t="s">
        <v>45</v>
      </c>
      <c r="I5" s="187" t="s">
        <v>3</v>
      </c>
      <c r="J5" s="187" t="s">
        <v>136</v>
      </c>
      <c r="K5" s="187" t="s">
        <v>3</v>
      </c>
      <c r="L5" s="187" t="s">
        <v>41</v>
      </c>
      <c r="M5" s="188" t="s">
        <v>3</v>
      </c>
      <c r="N5" s="788"/>
    </row>
    <row r="6" spans="1:14" s="1" customFormat="1" ht="14.1" customHeight="1" x14ac:dyDescent="0.25">
      <c r="A6" s="555" t="s">
        <v>42</v>
      </c>
      <c r="B6" s="556"/>
      <c r="C6" s="557"/>
      <c r="D6" s="558"/>
      <c r="E6" s="557"/>
      <c r="F6" s="559"/>
      <c r="G6" s="557"/>
      <c r="H6" s="556"/>
      <c r="I6" s="557"/>
      <c r="J6" s="558"/>
      <c r="K6" s="557"/>
      <c r="L6" s="559"/>
      <c r="M6" s="560"/>
      <c r="N6" s="559"/>
    </row>
    <row r="7" spans="1:14" ht="14.1" customHeight="1" x14ac:dyDescent="0.25">
      <c r="A7" s="206" t="s">
        <v>422</v>
      </c>
      <c r="B7" s="561">
        <v>578.11800000000005</v>
      </c>
      <c r="C7" s="562">
        <f>IF(B$20&gt;0,B7*100/B$20,0)</f>
        <v>8.8733526061687922</v>
      </c>
      <c r="D7" s="563">
        <v>5.15</v>
      </c>
      <c r="E7" s="562">
        <f>IF(D$20&gt;0,D7*100/D$20,0)</f>
        <v>0.51315980892519419</v>
      </c>
      <c r="F7" s="213">
        <f>B7+D7</f>
        <v>583.26800000000003</v>
      </c>
      <c r="G7" s="562">
        <f>IF(F$20&gt;0,F7*100/F$20,0)</f>
        <v>7.7574602652736795</v>
      </c>
      <c r="H7" s="561">
        <v>599.35400000000004</v>
      </c>
      <c r="I7" s="562">
        <f>IF(H$20&gt;0,H7*100/H$20,0)</f>
        <v>9.0894725092873205</v>
      </c>
      <c r="J7" s="563">
        <v>7.9059999999999997</v>
      </c>
      <c r="K7" s="562">
        <f>IF(J$20&gt;0,J7*100/J$20,0)</f>
        <v>0.79237094907117411</v>
      </c>
      <c r="L7" s="213">
        <f>H7+J7</f>
        <v>607.26</v>
      </c>
      <c r="M7" s="564">
        <f>IF(L$20&gt;0,L7*100/L$20,0)</f>
        <v>7.998997853050323</v>
      </c>
      <c r="N7" s="565">
        <f>IF(F7&lt;&gt;0,L7*100/F7,0)</f>
        <v>104.11337498371246</v>
      </c>
    </row>
    <row r="8" spans="1:14" ht="14.1" customHeight="1" x14ac:dyDescent="0.25">
      <c r="A8" s="206" t="s">
        <v>423</v>
      </c>
      <c r="B8" s="561">
        <v>1035.4069999999999</v>
      </c>
      <c r="C8" s="562">
        <f>IF(B$20&gt;0,B8*100/B$20,0)</f>
        <v>15.892138632416581</v>
      </c>
      <c r="D8" s="563">
        <v>336.86799999999999</v>
      </c>
      <c r="E8" s="562">
        <f t="shared" ref="E8:E11" si="0">IF(D$20&gt;0,D8*100/D$20,0)</f>
        <v>33.566430779225698</v>
      </c>
      <c r="F8" s="213">
        <f t="shared" ref="F8:F11" si="1">B8+D8</f>
        <v>1372.2749999999999</v>
      </c>
      <c r="G8" s="562">
        <f t="shared" ref="G8:G11" si="2">IF(F$20&gt;0,F8*100/F$20,0)</f>
        <v>18.251247772084938</v>
      </c>
      <c r="H8" s="561">
        <v>1063.883</v>
      </c>
      <c r="I8" s="562">
        <f>IF(H$20&gt;0,H8*100/H$20,0)</f>
        <v>16.134263359547315</v>
      </c>
      <c r="J8" s="563">
        <v>336.63600000000002</v>
      </c>
      <c r="K8" s="562">
        <f>IF(J$20&gt;0,J8*100/J$20,0)</f>
        <v>33.739006679929652</v>
      </c>
      <c r="L8" s="213">
        <f t="shared" ref="L8:L11" si="3">H8+J8</f>
        <v>1400.519</v>
      </c>
      <c r="M8" s="564">
        <f t="shared" ref="M8:M11" si="4">IF(L$20&gt;0,L8*100/L$20,0)</f>
        <v>18.448026338234339</v>
      </c>
      <c r="N8" s="565">
        <f>IF(F8&lt;&gt;0,L8*100/F8,0)</f>
        <v>102.05818804539906</v>
      </c>
    </row>
    <row r="9" spans="1:14" ht="14.1" customHeight="1" x14ac:dyDescent="0.25">
      <c r="A9" s="206" t="s">
        <v>513</v>
      </c>
      <c r="B9" s="561">
        <v>165.36600000000001</v>
      </c>
      <c r="C9" s="562">
        <f t="shared" ref="C9:C11" si="5">IF(B$20&gt;0,B9*100/B$20,0)</f>
        <v>2.538151081737134</v>
      </c>
      <c r="D9" s="563">
        <v>4.7859999999999996</v>
      </c>
      <c r="E9" s="562">
        <f t="shared" si="0"/>
        <v>0.47688987291572416</v>
      </c>
      <c r="F9" s="213">
        <f t="shared" si="1"/>
        <v>170.15200000000002</v>
      </c>
      <c r="G9" s="562">
        <f t="shared" si="2"/>
        <v>2.2630203938101303</v>
      </c>
      <c r="H9" s="561">
        <v>74.125</v>
      </c>
      <c r="I9" s="562">
        <f t="shared" ref="I9:K11" si="6">IF(H$20&gt;0,H9*100/H$20,0)</f>
        <v>1.1241389058067897</v>
      </c>
      <c r="J9" s="563">
        <v>4.72</v>
      </c>
      <c r="K9" s="562">
        <f t="shared" si="6"/>
        <v>0.47305728302756661</v>
      </c>
      <c r="L9" s="213">
        <f t="shared" si="3"/>
        <v>78.844999999999999</v>
      </c>
      <c r="M9" s="564">
        <f t="shared" si="4"/>
        <v>1.0385682997789296</v>
      </c>
      <c r="N9" s="565">
        <f>IF(F9&lt;&gt;0,L9*100/F9,0)</f>
        <v>46.337980158916729</v>
      </c>
    </row>
    <row r="10" spans="1:14" ht="14.1" customHeight="1" x14ac:dyDescent="0.25">
      <c r="A10" s="206" t="s">
        <v>421</v>
      </c>
      <c r="B10" s="566">
        <v>2051.4850000000001</v>
      </c>
      <c r="C10" s="562">
        <f t="shared" si="5"/>
        <v>31.487602481268844</v>
      </c>
      <c r="D10" s="213">
        <v>404.80799999999999</v>
      </c>
      <c r="E10" s="562">
        <f t="shared" si="0"/>
        <v>40.336154549784474</v>
      </c>
      <c r="F10" s="567">
        <f t="shared" si="1"/>
        <v>2456.2930000000001</v>
      </c>
      <c r="G10" s="562">
        <f t="shared" si="2"/>
        <v>32.668679487593835</v>
      </c>
      <c r="H10" s="566">
        <v>2180.5239999999999</v>
      </c>
      <c r="I10" s="562">
        <f t="shared" si="6"/>
        <v>33.068625476498404</v>
      </c>
      <c r="J10" s="213">
        <v>417.10199999999998</v>
      </c>
      <c r="K10" s="562">
        <f t="shared" si="6"/>
        <v>41.80363111554324</v>
      </c>
      <c r="L10" s="567">
        <f t="shared" si="3"/>
        <v>2597.6259999999997</v>
      </c>
      <c r="M10" s="564">
        <f t="shared" si="4"/>
        <v>34.216653158495042</v>
      </c>
      <c r="N10" s="565">
        <f t="shared" ref="N10:N20" si="7">IF(F10&lt;&gt;0,L10*100/F10,0)</f>
        <v>105.75391453706865</v>
      </c>
    </row>
    <row r="11" spans="1:14" ht="14.1" customHeight="1" x14ac:dyDescent="0.25">
      <c r="A11" s="206" t="s">
        <v>241</v>
      </c>
      <c r="B11" s="561">
        <v>252.28899999999999</v>
      </c>
      <c r="C11" s="562">
        <f t="shared" si="5"/>
        <v>3.8723050582367575</v>
      </c>
      <c r="D11" s="563">
        <v>15.535</v>
      </c>
      <c r="E11" s="562">
        <f t="shared" si="0"/>
        <v>1.547949054689882</v>
      </c>
      <c r="F11" s="213">
        <f t="shared" si="1"/>
        <v>267.82400000000001</v>
      </c>
      <c r="G11" s="562">
        <f t="shared" si="2"/>
        <v>3.5620573014234589</v>
      </c>
      <c r="H11" s="561">
        <v>268.27199999999999</v>
      </c>
      <c r="I11" s="562">
        <f t="shared" si="6"/>
        <v>4.0684653293571547</v>
      </c>
      <c r="J11" s="563">
        <v>13.757</v>
      </c>
      <c r="K11" s="562">
        <f t="shared" si="6"/>
        <v>1.3787815768242022</v>
      </c>
      <c r="L11" s="213">
        <f t="shared" si="3"/>
        <v>282.029</v>
      </c>
      <c r="M11" s="564">
        <f t="shared" si="4"/>
        <v>3.7149645382503866</v>
      </c>
      <c r="N11" s="565">
        <f t="shared" si="7"/>
        <v>105.30385626381505</v>
      </c>
    </row>
    <row r="12" spans="1:14" ht="14.1" customHeight="1" x14ac:dyDescent="0.25">
      <c r="A12" s="568" t="s">
        <v>41</v>
      </c>
      <c r="B12" s="569">
        <f t="shared" ref="B12:M12" si="8">SUM(B7:B11)</f>
        <v>4082.665</v>
      </c>
      <c r="C12" s="570">
        <f t="shared" si="8"/>
        <v>62.663549859828102</v>
      </c>
      <c r="D12" s="571">
        <f t="shared" si="8"/>
        <v>767.14699999999993</v>
      </c>
      <c r="E12" s="570">
        <f t="shared" si="8"/>
        <v>76.440584065540975</v>
      </c>
      <c r="F12" s="571">
        <f t="shared" si="8"/>
        <v>4849.811999999999</v>
      </c>
      <c r="G12" s="570">
        <f>SUM(G7:G11)</f>
        <v>64.502465220186039</v>
      </c>
      <c r="H12" s="569">
        <f t="shared" si="8"/>
        <v>4186.1580000000004</v>
      </c>
      <c r="I12" s="570">
        <f>SUM(I7:I11)</f>
        <v>63.484965580496983</v>
      </c>
      <c r="J12" s="571">
        <f t="shared" si="8"/>
        <v>780.12099999999998</v>
      </c>
      <c r="K12" s="570">
        <f t="shared" si="8"/>
        <v>78.186847604395837</v>
      </c>
      <c r="L12" s="571">
        <f t="shared" si="8"/>
        <v>4966.2790000000005</v>
      </c>
      <c r="M12" s="572">
        <f t="shared" si="8"/>
        <v>65.417210187809019</v>
      </c>
      <c r="N12" s="573">
        <f t="shared" si="7"/>
        <v>102.40147453138393</v>
      </c>
    </row>
    <row r="13" spans="1:14" ht="14.1" customHeight="1" x14ac:dyDescent="0.25">
      <c r="A13" s="555" t="s">
        <v>43</v>
      </c>
      <c r="B13" s="574"/>
      <c r="C13" s="562"/>
      <c r="D13" s="575"/>
      <c r="E13" s="562"/>
      <c r="F13" s="213"/>
      <c r="G13" s="562"/>
      <c r="H13" s="574"/>
      <c r="I13" s="562"/>
      <c r="J13" s="575"/>
      <c r="K13" s="562"/>
      <c r="L13" s="213"/>
      <c r="M13" s="564"/>
      <c r="N13" s="565">
        <f t="shared" si="7"/>
        <v>0</v>
      </c>
    </row>
    <row r="14" spans="1:14" ht="14.1" customHeight="1" x14ac:dyDescent="0.25">
      <c r="A14" s="206" t="s">
        <v>422</v>
      </c>
      <c r="B14" s="561">
        <v>44.353000000000002</v>
      </c>
      <c r="C14" s="562">
        <f>IF(B$20&gt;0,B14*100/B$20,0)</f>
        <v>0.68076034328874802</v>
      </c>
      <c r="D14" s="563">
        <v>0</v>
      </c>
      <c r="E14" s="562">
        <f>IF(D$20&gt;0,D14*100/D$20,0)</f>
        <v>0</v>
      </c>
      <c r="F14" s="213">
        <f t="shared" ref="F14:F18" si="9">B14+D14</f>
        <v>44.353000000000002</v>
      </c>
      <c r="G14" s="562">
        <f>IF(F$20&gt;0,F14*100/F$20,0)</f>
        <v>0.5898945855861859</v>
      </c>
      <c r="H14" s="561">
        <v>31.626999999999999</v>
      </c>
      <c r="I14" s="562">
        <f>IF(H$20&gt;0,H14*100/H$20,0)</f>
        <v>0.4796376549605576</v>
      </c>
      <c r="J14" s="563">
        <v>0</v>
      </c>
      <c r="K14" s="562">
        <f>IF(J$20&gt;0,J14*100/J$20,0)</f>
        <v>0</v>
      </c>
      <c r="L14" s="213">
        <f t="shared" ref="L14:L18" si="10">H14+J14</f>
        <v>31.626999999999999</v>
      </c>
      <c r="M14" s="564">
        <f>IF(L$20&gt;0,L14*100/L$20,0)</f>
        <v>0.4165996526997045</v>
      </c>
      <c r="N14" s="565">
        <f t="shared" si="7"/>
        <v>71.307465109462711</v>
      </c>
    </row>
    <row r="15" spans="1:14" ht="14.1" customHeight="1" x14ac:dyDescent="0.25">
      <c r="A15" s="206" t="s">
        <v>423</v>
      </c>
      <c r="B15" s="561">
        <v>232.37299999999999</v>
      </c>
      <c r="C15" s="562">
        <f t="shared" ref="C15:E18" si="11">IF(B$20&gt;0,B15*100/B$20,0)</f>
        <v>3.5666205950225738</v>
      </c>
      <c r="D15" s="563">
        <v>85.600999999999999</v>
      </c>
      <c r="E15" s="562">
        <f t="shared" si="11"/>
        <v>8.5295131657874865</v>
      </c>
      <c r="F15" s="213">
        <f t="shared" si="9"/>
        <v>317.97399999999999</v>
      </c>
      <c r="G15" s="562">
        <f t="shared" ref="G15:G18" si="12">IF(F$20&gt;0,F15*100/F$20,0)</f>
        <v>4.2290519459153124</v>
      </c>
      <c r="H15" s="561">
        <v>263.40300000000002</v>
      </c>
      <c r="I15" s="562">
        <f t="shared" ref="I15" si="13">IF(H$20&gt;0,H15*100/H$20,0)</f>
        <v>3.9946247582627432</v>
      </c>
      <c r="J15" s="563">
        <v>66.099000000000004</v>
      </c>
      <c r="K15" s="562">
        <f t="shared" ref="K15" si="14">IF(J$20&gt;0,J15*100/J$20,0)</f>
        <v>6.6247062183981207</v>
      </c>
      <c r="L15" s="213">
        <f t="shared" si="10"/>
        <v>329.50200000000001</v>
      </c>
      <c r="M15" s="564">
        <f t="shared" ref="M15:M18" si="15">IF(L$20&gt;0,L15*100/L$20,0)</f>
        <v>4.3402921163517902</v>
      </c>
      <c r="N15" s="565">
        <f t="shared" si="7"/>
        <v>103.62545365344339</v>
      </c>
    </row>
    <row r="16" spans="1:14" ht="14.1" customHeight="1" x14ac:dyDescent="0.25">
      <c r="A16" s="206" t="s">
        <v>513</v>
      </c>
      <c r="B16" s="561">
        <v>195.91</v>
      </c>
      <c r="C16" s="562">
        <f t="shared" si="11"/>
        <v>3.0069613972831286</v>
      </c>
      <c r="D16" s="563">
        <v>7.71</v>
      </c>
      <c r="E16" s="562">
        <f t="shared" si="11"/>
        <v>0.76824507316762092</v>
      </c>
      <c r="F16" s="213">
        <f t="shared" si="9"/>
        <v>203.62</v>
      </c>
      <c r="G16" s="562">
        <f t="shared" si="12"/>
        <v>2.7081445565589517</v>
      </c>
      <c r="H16" s="561">
        <v>186.17500000000001</v>
      </c>
      <c r="I16" s="562">
        <f t="shared" ref="I16" si="16">IF(H$20&gt;0,H16*100/H$20,0)</f>
        <v>2.8234274642641357</v>
      </c>
      <c r="J16" s="563">
        <v>7.71</v>
      </c>
      <c r="K16" s="562">
        <f t="shared" ref="K16" si="17">IF(J$20&gt;0,J16*100/J$20,0)</f>
        <v>0.77272704494545308</v>
      </c>
      <c r="L16" s="213">
        <f t="shared" si="10"/>
        <v>193.88500000000002</v>
      </c>
      <c r="M16" s="564">
        <f t="shared" si="15"/>
        <v>2.5539072205293651</v>
      </c>
      <c r="N16" s="565">
        <f t="shared" si="7"/>
        <v>95.219035458206477</v>
      </c>
    </row>
    <row r="17" spans="1:14" ht="14.1" customHeight="1" x14ac:dyDescent="0.25">
      <c r="A17" s="206" t="s">
        <v>421</v>
      </c>
      <c r="B17" s="561">
        <v>1804.0550000000001</v>
      </c>
      <c r="C17" s="562">
        <f t="shared" si="11"/>
        <v>27.689876696317771</v>
      </c>
      <c r="D17" s="563">
        <v>133.93600000000001</v>
      </c>
      <c r="E17" s="562">
        <f t="shared" si="11"/>
        <v>13.34574216858346</v>
      </c>
      <c r="F17" s="213">
        <f t="shared" si="9"/>
        <v>1937.991</v>
      </c>
      <c r="G17" s="562">
        <f t="shared" si="12"/>
        <v>25.775266561782924</v>
      </c>
      <c r="H17" s="561">
        <v>1766.8520000000001</v>
      </c>
      <c r="I17" s="562">
        <f t="shared" ref="I17" si="18">IF(H$20&gt;0,H17*100/H$20,0)</f>
        <v>26.79510386512699</v>
      </c>
      <c r="J17" s="563">
        <v>134.04400000000001</v>
      </c>
      <c r="K17" s="562">
        <f t="shared" ref="K17" si="19">IF(J$20&gt;0,J17*100/J$20,0)</f>
        <v>13.434425941980328</v>
      </c>
      <c r="L17" s="213">
        <f t="shared" si="10"/>
        <v>1900.8960000000002</v>
      </c>
      <c r="M17" s="564">
        <f t="shared" si="15"/>
        <v>25.03913154640837</v>
      </c>
      <c r="N17" s="565">
        <f t="shared" si="7"/>
        <v>98.085904423704761</v>
      </c>
    </row>
    <row r="18" spans="1:14" ht="14.1" customHeight="1" x14ac:dyDescent="0.25">
      <c r="A18" s="206" t="s">
        <v>241</v>
      </c>
      <c r="B18" s="561">
        <v>155.85900000000001</v>
      </c>
      <c r="C18" s="562">
        <f t="shared" si="11"/>
        <v>2.3922311082596663</v>
      </c>
      <c r="D18" s="563">
        <v>9.1920000000000002</v>
      </c>
      <c r="E18" s="562">
        <f t="shared" si="11"/>
        <v>0.9159155269204633</v>
      </c>
      <c r="F18" s="213">
        <f t="shared" si="9"/>
        <v>165.05100000000002</v>
      </c>
      <c r="G18" s="562">
        <f t="shared" si="12"/>
        <v>2.19517712997059</v>
      </c>
      <c r="H18" s="561">
        <v>159.721</v>
      </c>
      <c r="I18" s="562">
        <f t="shared" ref="I18" si="20">IF(H$20&gt;0,H18*100/H$20,0)</f>
        <v>2.4222406768885834</v>
      </c>
      <c r="J18" s="563">
        <v>9.7910000000000004</v>
      </c>
      <c r="K18" s="562">
        <f t="shared" ref="K18" si="21">IF(J$20&gt;0,J18*100/J$20,0)</f>
        <v>0.98129319028027651</v>
      </c>
      <c r="L18" s="213">
        <f t="shared" si="10"/>
        <v>169.512</v>
      </c>
      <c r="M18" s="564">
        <f t="shared" si="15"/>
        <v>2.2328592762017365</v>
      </c>
      <c r="N18" s="565">
        <f t="shared" si="7"/>
        <v>102.70280095243288</v>
      </c>
    </row>
    <row r="19" spans="1:14" ht="14.1" customHeight="1" x14ac:dyDescent="0.25">
      <c r="A19" s="568" t="s">
        <v>41</v>
      </c>
      <c r="B19" s="569">
        <f>SUM(B14:B18)</f>
        <v>2432.5499999999997</v>
      </c>
      <c r="C19" s="570">
        <f>SUM(C14:C18)</f>
        <v>37.336450140171884</v>
      </c>
      <c r="D19" s="571">
        <f>SUM(D14:D18)</f>
        <v>236.43900000000002</v>
      </c>
      <c r="E19" s="570">
        <f>SUM(E14:E18)</f>
        <v>23.559415934459032</v>
      </c>
      <c r="F19" s="571">
        <f t="shared" ref="F19:L19" si="22">SUM(F14:F18)</f>
        <v>2668.989</v>
      </c>
      <c r="G19" s="570">
        <f>SUM(G14:G18)</f>
        <v>35.497534779813961</v>
      </c>
      <c r="H19" s="569">
        <f t="shared" si="22"/>
        <v>2407.7780000000002</v>
      </c>
      <c r="I19" s="570">
        <f t="shared" si="22"/>
        <v>36.51503441950301</v>
      </c>
      <c r="J19" s="571">
        <f t="shared" si="22"/>
        <v>217.64400000000001</v>
      </c>
      <c r="K19" s="570">
        <f>SUM(K14:K18)</f>
        <v>21.813152395604178</v>
      </c>
      <c r="L19" s="571">
        <f t="shared" si="22"/>
        <v>2625.4220000000005</v>
      </c>
      <c r="M19" s="572">
        <f>SUM(M14:M18)</f>
        <v>34.582789812190967</v>
      </c>
      <c r="N19" s="573">
        <f t="shared" si="7"/>
        <v>98.367659064911876</v>
      </c>
    </row>
    <row r="20" spans="1:14" s="2" customFormat="1" ht="14.1" customHeight="1" thickBot="1" x14ac:dyDescent="0.3">
      <c r="A20" s="576" t="s">
        <v>135</v>
      </c>
      <c r="B20" s="577">
        <f>B19+B12</f>
        <v>6515.2150000000001</v>
      </c>
      <c r="C20" s="578">
        <f>C19+C12</f>
        <v>99.999999999999986</v>
      </c>
      <c r="D20" s="579">
        <f>D19+D12</f>
        <v>1003.586</v>
      </c>
      <c r="E20" s="578">
        <f>E19+E12</f>
        <v>100</v>
      </c>
      <c r="F20" s="579">
        <f t="shared" ref="F20:L20" si="23">F19+F12</f>
        <v>7518.8009999999995</v>
      </c>
      <c r="G20" s="578">
        <f>G19+G12</f>
        <v>100</v>
      </c>
      <c r="H20" s="577">
        <f t="shared" si="23"/>
        <v>6593.9360000000006</v>
      </c>
      <c r="I20" s="578">
        <f t="shared" si="23"/>
        <v>100</v>
      </c>
      <c r="J20" s="579">
        <f t="shared" si="23"/>
        <v>997.76499999999999</v>
      </c>
      <c r="K20" s="578">
        <f t="shared" si="23"/>
        <v>100.00000000000001</v>
      </c>
      <c r="L20" s="579">
        <f t="shared" si="23"/>
        <v>7591.7010000000009</v>
      </c>
      <c r="M20" s="580">
        <f>M19+M12</f>
        <v>99.999999999999986</v>
      </c>
      <c r="N20" s="581">
        <f t="shared" si="7"/>
        <v>100.96956948321949</v>
      </c>
    </row>
    <row r="21" spans="1:14" s="15" customForma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59"/>
    </row>
    <row r="22" spans="1:14" s="15" customForma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59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I17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86" bestFit="1" customWidth="1"/>
    <col min="2" max="2" width="9.140625" style="486"/>
    <col min="3" max="3" width="5" style="486" bestFit="1" customWidth="1"/>
    <col min="4" max="4" width="9.140625" style="486"/>
    <col min="5" max="5" width="5" style="486" bestFit="1" customWidth="1"/>
    <col min="6" max="6" width="9.140625" style="486"/>
    <col min="7" max="7" width="5" style="486" bestFit="1" customWidth="1"/>
    <col min="8" max="8" width="10.5703125" style="486" customWidth="1"/>
  </cols>
  <sheetData>
    <row r="1" spans="1:8" s="50" customFormat="1" ht="14.45" hidden="1" customHeight="1" x14ac:dyDescent="0.25">
      <c r="A1" s="486"/>
      <c r="B1" s="486"/>
      <c r="C1" s="486"/>
      <c r="D1" s="486"/>
      <c r="E1" s="486"/>
      <c r="F1" s="486"/>
      <c r="G1" s="486"/>
      <c r="H1" s="486"/>
    </row>
    <row r="2" spans="1:8" s="15" customFormat="1" x14ac:dyDescent="0.25">
      <c r="A2" s="486"/>
      <c r="B2" s="486"/>
      <c r="C2" s="486"/>
      <c r="D2" s="486"/>
      <c r="E2" s="486"/>
      <c r="F2" s="486"/>
      <c r="G2" s="486"/>
      <c r="H2" s="486"/>
    </row>
    <row r="3" spans="1:8" x14ac:dyDescent="0.25">
      <c r="A3" s="485" t="s">
        <v>336</v>
      </c>
      <c r="B3" s="485"/>
      <c r="C3" s="485"/>
      <c r="D3" s="485"/>
      <c r="E3" s="485"/>
      <c r="F3" s="485"/>
      <c r="G3" s="485"/>
      <c r="H3" s="443" t="s">
        <v>399</v>
      </c>
    </row>
    <row r="4" spans="1:8" x14ac:dyDescent="0.25">
      <c r="A4" s="768" t="s">
        <v>12</v>
      </c>
      <c r="B4" s="793" t="s">
        <v>529</v>
      </c>
      <c r="C4" s="794"/>
      <c r="D4" s="793" t="s">
        <v>530</v>
      </c>
      <c r="E4" s="794"/>
      <c r="F4" s="793" t="s">
        <v>531</v>
      </c>
      <c r="G4" s="794"/>
      <c r="H4" s="783" t="s">
        <v>11</v>
      </c>
    </row>
    <row r="5" spans="1:8" x14ac:dyDescent="0.25">
      <c r="A5" s="769"/>
      <c r="B5" s="452" t="s">
        <v>2</v>
      </c>
      <c r="C5" s="453" t="s">
        <v>3</v>
      </c>
      <c r="D5" s="452" t="s">
        <v>2</v>
      </c>
      <c r="E5" s="453" t="s">
        <v>3</v>
      </c>
      <c r="F5" s="452" t="s">
        <v>2</v>
      </c>
      <c r="G5" s="453" t="s">
        <v>3</v>
      </c>
      <c r="H5" s="792"/>
    </row>
    <row r="6" spans="1:8" s="12" customFormat="1" ht="14.1" customHeight="1" x14ac:dyDescent="0.25">
      <c r="A6" s="193" t="s">
        <v>46</v>
      </c>
      <c r="B6" s="462">
        <f>SUM(B7:B15)</f>
        <v>1063.7660000000001</v>
      </c>
      <c r="C6" s="582">
        <f>SUM(C7:C15)</f>
        <v>100</v>
      </c>
      <c r="D6" s="462">
        <f t="shared" ref="D6:G6" si="0">SUM(D7:D15)</f>
        <v>1129.2849999999999</v>
      </c>
      <c r="E6" s="582">
        <f>SUM(E7:E15)</f>
        <v>100.00000000000001</v>
      </c>
      <c r="F6" s="462">
        <f t="shared" si="0"/>
        <v>1115.6570000000002</v>
      </c>
      <c r="G6" s="582">
        <f t="shared" si="0"/>
        <v>99.999999999999972</v>
      </c>
      <c r="H6" s="128">
        <f>IF(D6&lt;&gt;0,F6/D6*100,"-")</f>
        <v>98.793218718038432</v>
      </c>
    </row>
    <row r="7" spans="1:8" s="589" customFormat="1" ht="15" customHeight="1" x14ac:dyDescent="0.25">
      <c r="A7" s="583" t="s">
        <v>407</v>
      </c>
      <c r="B7" s="448">
        <v>550.79200000000003</v>
      </c>
      <c r="C7" s="584">
        <f>IF(B$6&lt;&gt;0,B7*100/B$6,0)</f>
        <v>51.77755258205282</v>
      </c>
      <c r="D7" s="448">
        <v>610.50699999999995</v>
      </c>
      <c r="E7" s="584">
        <f t="shared" ref="E7:E15" si="1">IF(D$6&lt;&gt;0,D7*100/D$6,0)</f>
        <v>54.061375117884332</v>
      </c>
      <c r="F7" s="448">
        <v>604.94899999999996</v>
      </c>
      <c r="G7" s="584">
        <f t="shared" ref="G7:G15" si="2">IF(F$6&lt;&gt;0,F7*100/F$6,0)</f>
        <v>54.223565127991833</v>
      </c>
      <c r="H7" s="126">
        <f t="shared" ref="H7:H17" si="3">IF(D7&lt;&gt;0,F7/D7*100,"-")</f>
        <v>99.089609128150869</v>
      </c>
    </row>
    <row r="8" spans="1:8" s="589" customFormat="1" ht="15" customHeight="1" x14ac:dyDescent="0.25">
      <c r="A8" s="583" t="s">
        <v>408</v>
      </c>
      <c r="B8" s="448">
        <v>0</v>
      </c>
      <c r="C8" s="584">
        <f t="shared" ref="C8:C15" si="4">IF($B$6&lt;&gt;0,B8*100/$B$6,0)</f>
        <v>0</v>
      </c>
      <c r="D8" s="448">
        <v>0</v>
      </c>
      <c r="E8" s="584">
        <f t="shared" si="1"/>
        <v>0</v>
      </c>
      <c r="F8" s="448">
        <v>0</v>
      </c>
      <c r="G8" s="584">
        <f t="shared" si="2"/>
        <v>0</v>
      </c>
      <c r="H8" s="126" t="str">
        <f t="shared" si="3"/>
        <v>-</v>
      </c>
    </row>
    <row r="9" spans="1:8" s="589" customFormat="1" ht="15" customHeight="1" x14ac:dyDescent="0.25">
      <c r="A9" s="583" t="s">
        <v>409</v>
      </c>
      <c r="B9" s="448">
        <v>4.3659999999999997</v>
      </c>
      <c r="C9" s="584">
        <f t="shared" si="4"/>
        <v>0.41042860929941355</v>
      </c>
      <c r="D9" s="448">
        <v>2.7269999999999999</v>
      </c>
      <c r="E9" s="584">
        <f t="shared" si="1"/>
        <v>0.24148022864024585</v>
      </c>
      <c r="F9" s="448">
        <v>0.83899999999999997</v>
      </c>
      <c r="G9" s="584">
        <f t="shared" si="2"/>
        <v>7.5202324728836895E-2</v>
      </c>
      <c r="H9" s="126">
        <f t="shared" si="3"/>
        <v>30.766409974330767</v>
      </c>
    </row>
    <row r="10" spans="1:8" s="589" customFormat="1" ht="15" customHeight="1" x14ac:dyDescent="0.25">
      <c r="A10" s="583" t="s">
        <v>410</v>
      </c>
      <c r="B10" s="448">
        <v>0</v>
      </c>
      <c r="C10" s="584">
        <f t="shared" si="4"/>
        <v>0</v>
      </c>
      <c r="D10" s="448">
        <v>0</v>
      </c>
      <c r="E10" s="584">
        <f t="shared" si="1"/>
        <v>0</v>
      </c>
      <c r="F10" s="448">
        <v>0</v>
      </c>
      <c r="G10" s="584">
        <f t="shared" si="2"/>
        <v>0</v>
      </c>
      <c r="H10" s="126" t="str">
        <f t="shared" si="3"/>
        <v>-</v>
      </c>
    </row>
    <row r="11" spans="1:8" s="589" customFormat="1" ht="15" customHeight="1" x14ac:dyDescent="0.25">
      <c r="A11" s="583" t="s">
        <v>282</v>
      </c>
      <c r="B11" s="448">
        <v>508.11799999999999</v>
      </c>
      <c r="C11" s="584">
        <f t="shared" si="4"/>
        <v>47.765956046724561</v>
      </c>
      <c r="D11" s="448">
        <v>514.73599999999999</v>
      </c>
      <c r="E11" s="584">
        <f t="shared" si="1"/>
        <v>45.580699292029919</v>
      </c>
      <c r="F11" s="448">
        <v>508.904</v>
      </c>
      <c r="G11" s="584">
        <f t="shared" si="2"/>
        <v>45.614736428848644</v>
      </c>
      <c r="H11" s="126">
        <f t="shared" si="3"/>
        <v>98.866992011438867</v>
      </c>
    </row>
    <row r="12" spans="1:8" s="589" customFormat="1" ht="15" customHeight="1" x14ac:dyDescent="0.25">
      <c r="A12" s="583" t="s">
        <v>411</v>
      </c>
      <c r="B12" s="448">
        <v>6.4000000000000001E-2</v>
      </c>
      <c r="C12" s="584">
        <f t="shared" si="4"/>
        <v>6.0163607409900299E-3</v>
      </c>
      <c r="D12" s="448">
        <v>6.4000000000000001E-2</v>
      </c>
      <c r="E12" s="584">
        <f t="shared" si="1"/>
        <v>5.6673027623673393E-3</v>
      </c>
      <c r="F12" s="448">
        <v>6.4000000000000001E-2</v>
      </c>
      <c r="G12" s="584">
        <f t="shared" si="2"/>
        <v>5.7365301342616947E-3</v>
      </c>
      <c r="H12" s="126">
        <f t="shared" si="3"/>
        <v>100</v>
      </c>
    </row>
    <row r="13" spans="1:8" s="589" customFormat="1" ht="15" customHeight="1" x14ac:dyDescent="0.25">
      <c r="A13" s="583" t="s">
        <v>412</v>
      </c>
      <c r="B13" s="448">
        <v>0</v>
      </c>
      <c r="C13" s="584">
        <f t="shared" si="4"/>
        <v>0</v>
      </c>
      <c r="D13" s="448">
        <v>0</v>
      </c>
      <c r="E13" s="584">
        <f t="shared" si="1"/>
        <v>0</v>
      </c>
      <c r="F13" s="448">
        <v>0</v>
      </c>
      <c r="G13" s="584">
        <f t="shared" si="2"/>
        <v>0</v>
      </c>
      <c r="H13" s="126" t="str">
        <f t="shared" si="3"/>
        <v>-</v>
      </c>
    </row>
    <row r="14" spans="1:8" s="589" customFormat="1" ht="15" customHeight="1" x14ac:dyDescent="0.25">
      <c r="A14" s="583" t="s">
        <v>413</v>
      </c>
      <c r="B14" s="448">
        <v>0</v>
      </c>
      <c r="C14" s="584">
        <f t="shared" si="4"/>
        <v>0</v>
      </c>
      <c r="D14" s="448">
        <v>0</v>
      </c>
      <c r="E14" s="584">
        <f t="shared" si="1"/>
        <v>0</v>
      </c>
      <c r="F14" s="448">
        <v>0</v>
      </c>
      <c r="G14" s="584">
        <f t="shared" si="2"/>
        <v>0</v>
      </c>
      <c r="H14" s="126" t="str">
        <f t="shared" si="3"/>
        <v>-</v>
      </c>
    </row>
    <row r="15" spans="1:8" s="589" customFormat="1" ht="15" customHeight="1" x14ac:dyDescent="0.25">
      <c r="A15" s="583" t="s">
        <v>414</v>
      </c>
      <c r="B15" s="448">
        <v>0.42599999999999999</v>
      </c>
      <c r="C15" s="584">
        <f t="shared" si="4"/>
        <v>4.0046401182214884E-2</v>
      </c>
      <c r="D15" s="448">
        <v>1.2509999999999999</v>
      </c>
      <c r="E15" s="584">
        <f t="shared" si="1"/>
        <v>0.11077805868314908</v>
      </c>
      <c r="F15" s="448">
        <v>0.90100000000000002</v>
      </c>
      <c r="G15" s="584">
        <f t="shared" si="2"/>
        <v>8.0759588296402923E-2</v>
      </c>
      <c r="H15" s="126">
        <f t="shared" si="3"/>
        <v>72.022382094324541</v>
      </c>
    </row>
    <row r="16" spans="1:8" s="589" customFormat="1" ht="15" customHeight="1" x14ac:dyDescent="0.25">
      <c r="A16" s="194" t="s">
        <v>47</v>
      </c>
      <c r="B16" s="585">
        <v>72.387</v>
      </c>
      <c r="C16" s="454"/>
      <c r="D16" s="585">
        <v>83.355999999999995</v>
      </c>
      <c r="E16" s="454"/>
      <c r="F16" s="585">
        <v>81.918000000000006</v>
      </c>
      <c r="G16" s="454"/>
      <c r="H16" s="128">
        <f t="shared" si="3"/>
        <v>98.274869235567934</v>
      </c>
    </row>
    <row r="17" spans="1:9" s="13" customFormat="1" ht="14.1" customHeight="1" thickBot="1" x14ac:dyDescent="0.3">
      <c r="A17" s="195" t="s">
        <v>48</v>
      </c>
      <c r="B17" s="586">
        <f>SUM(B7:B16)</f>
        <v>1136.153</v>
      </c>
      <c r="C17" s="587"/>
      <c r="D17" s="586">
        <f t="shared" ref="D17" si="5">SUM(D7:D16)</f>
        <v>1212.6409999999998</v>
      </c>
      <c r="E17" s="587"/>
      <c r="F17" s="586">
        <f>SUM(F7:F16)</f>
        <v>1197.5750000000003</v>
      </c>
      <c r="G17" s="587"/>
      <c r="H17" s="588">
        <f t="shared" si="3"/>
        <v>98.757587777421378</v>
      </c>
      <c r="I17" s="12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R22"/>
  <sheetViews>
    <sheetView topLeftCell="A2" zoomScaleNormal="100" workbookViewId="0">
      <selection activeCell="A3" sqref="A3"/>
    </sheetView>
  </sheetViews>
  <sheetFormatPr defaultRowHeight="15" x14ac:dyDescent="0.25"/>
  <cols>
    <col min="1" max="1" width="26.140625" style="50" customWidth="1"/>
    <col min="2" max="2" width="9.7109375" style="50" customWidth="1"/>
    <col min="3" max="3" width="6.7109375" style="50" customWidth="1"/>
    <col min="4" max="4" width="9.7109375" style="50" customWidth="1"/>
    <col min="5" max="5" width="6.7109375" style="50" customWidth="1"/>
    <col min="6" max="6" width="9.7109375" style="50" customWidth="1"/>
    <col min="7" max="7" width="6.7109375" style="50" customWidth="1"/>
    <col min="8" max="8" width="14.5703125" style="50" customWidth="1"/>
    <col min="11" max="11" width="37.140625" style="15" customWidth="1"/>
    <col min="12" max="12" width="10.28515625" style="15" bestFit="1" customWidth="1"/>
    <col min="13" max="13" width="5.7109375" style="15" customWidth="1"/>
    <col min="14" max="14" width="9.28515625" style="15" bestFit="1" customWidth="1"/>
    <col min="15" max="15" width="5.7109375" style="15" customWidth="1"/>
    <col min="16" max="16" width="10.28515625" style="15" bestFit="1" customWidth="1"/>
    <col min="17" max="17" width="5.7109375" style="15" customWidth="1"/>
    <col min="18" max="18" width="5.28515625" style="15" customWidth="1"/>
  </cols>
  <sheetData>
    <row r="1" spans="1:11" s="50" customFormat="1" hidden="1" x14ac:dyDescent="0.25"/>
    <row r="2" spans="1:11" s="15" customFormat="1" x14ac:dyDescent="0.25">
      <c r="A2" s="50"/>
      <c r="B2" s="50"/>
      <c r="C2" s="50"/>
      <c r="D2" s="50"/>
      <c r="E2" s="50"/>
      <c r="F2" s="50"/>
      <c r="G2" s="50"/>
      <c r="H2" s="50"/>
      <c r="K2" s="29"/>
    </row>
    <row r="3" spans="1:11" x14ac:dyDescent="0.25">
      <c r="A3" s="81" t="s">
        <v>337</v>
      </c>
      <c r="B3" s="81"/>
      <c r="C3" s="81"/>
      <c r="D3" s="81"/>
      <c r="E3" s="81"/>
      <c r="F3" s="81"/>
      <c r="G3" s="81"/>
      <c r="H3" s="443" t="s">
        <v>399</v>
      </c>
    </row>
    <row r="4" spans="1:11" x14ac:dyDescent="0.25">
      <c r="A4" s="796" t="s">
        <v>12</v>
      </c>
      <c r="B4" s="793" t="s">
        <v>529</v>
      </c>
      <c r="C4" s="794"/>
      <c r="D4" s="793" t="s">
        <v>530</v>
      </c>
      <c r="E4" s="794"/>
      <c r="F4" s="793" t="s">
        <v>531</v>
      </c>
      <c r="G4" s="794"/>
      <c r="H4" s="795" t="s">
        <v>11</v>
      </c>
    </row>
    <row r="5" spans="1:11" x14ac:dyDescent="0.25">
      <c r="A5" s="797"/>
      <c r="B5" s="452" t="s">
        <v>2</v>
      </c>
      <c r="C5" s="453" t="s">
        <v>3</v>
      </c>
      <c r="D5" s="452" t="s">
        <v>2</v>
      </c>
      <c r="E5" s="453" t="s">
        <v>3</v>
      </c>
      <c r="F5" s="452" t="s">
        <v>2</v>
      </c>
      <c r="G5" s="461" t="s">
        <v>3</v>
      </c>
      <c r="H5" s="786"/>
    </row>
    <row r="6" spans="1:11" s="1" customFormat="1" ht="14.1" customHeight="1" x14ac:dyDescent="0.25">
      <c r="A6" s="123" t="s">
        <v>49</v>
      </c>
      <c r="B6" s="462"/>
      <c r="C6" s="454"/>
      <c r="D6" s="462"/>
      <c r="E6" s="454"/>
      <c r="F6" s="462"/>
      <c r="G6" s="454"/>
      <c r="H6" s="128"/>
    </row>
    <row r="7" spans="1:11" x14ac:dyDescent="0.25">
      <c r="A7" s="85" t="s">
        <v>50</v>
      </c>
      <c r="B7" s="455">
        <v>140.845</v>
      </c>
      <c r="C7" s="451">
        <f>IF($B$22&lt;&gt;0,ROUND(B7*100/$B$22,1),0)</f>
        <v>7.5</v>
      </c>
      <c r="D7" s="455">
        <v>169.13</v>
      </c>
      <c r="E7" s="451">
        <f>IF($D$22&lt;&gt;0,ROUND(D7*100/$D$22,1),0)</f>
        <v>8.8000000000000007</v>
      </c>
      <c r="F7" s="455">
        <v>166.82400000000001</v>
      </c>
      <c r="G7" s="451">
        <f>IF($F$22&lt;&gt;0,ROUND(F7*100/$F$22,1),0)</f>
        <v>8.5</v>
      </c>
      <c r="H7" s="72">
        <f>IF(D7&lt;&gt;0,F7/D7*100,"-")</f>
        <v>98.636551764914572</v>
      </c>
    </row>
    <row r="8" spans="1:11" x14ac:dyDescent="0.25">
      <c r="A8" s="85" t="s">
        <v>51</v>
      </c>
      <c r="B8" s="455">
        <v>1318.9960000000001</v>
      </c>
      <c r="C8" s="451">
        <f t="shared" ref="C8:C12" si="0">IF($B$22&lt;&gt;0,ROUND(B8*100/$B$22,1),0)</f>
        <v>69.900000000000006</v>
      </c>
      <c r="D8" s="455">
        <v>1324.675</v>
      </c>
      <c r="E8" s="451">
        <f t="shared" ref="E8:E12" si="1">IF($D$22&lt;&gt;0,ROUND(D8*100/$D$22,1),0)</f>
        <v>69</v>
      </c>
      <c r="F8" s="455">
        <v>1269.297</v>
      </c>
      <c r="G8" s="451">
        <f t="shared" ref="G8:G12" si="2">IF($F$22&lt;&gt;0,ROUND(F8*100/$F$22,1),0)</f>
        <v>64.8</v>
      </c>
      <c r="H8" s="72">
        <f t="shared" ref="H8:H13" si="3">IF(D8&lt;&gt;0,F8/D8*100,"-")</f>
        <v>95.819502896936996</v>
      </c>
    </row>
    <row r="9" spans="1:11" ht="24" x14ac:dyDescent="0.25">
      <c r="A9" s="85" t="s">
        <v>52</v>
      </c>
      <c r="B9" s="455">
        <v>0.47</v>
      </c>
      <c r="C9" s="451">
        <f t="shared" si="0"/>
        <v>0</v>
      </c>
      <c r="D9" s="455">
        <v>1.0169999999999999</v>
      </c>
      <c r="E9" s="451">
        <f t="shared" si="1"/>
        <v>0.1</v>
      </c>
      <c r="F9" s="455">
        <v>0.99299999999999999</v>
      </c>
      <c r="G9" s="451">
        <f t="shared" si="2"/>
        <v>0.1</v>
      </c>
      <c r="H9" s="72">
        <f t="shared" si="3"/>
        <v>97.640117994100308</v>
      </c>
    </row>
    <row r="10" spans="1:11" ht="24" x14ac:dyDescent="0.25">
      <c r="A10" s="85" t="s">
        <v>53</v>
      </c>
      <c r="B10" s="455">
        <v>0</v>
      </c>
      <c r="C10" s="451">
        <f t="shared" si="0"/>
        <v>0</v>
      </c>
      <c r="D10" s="455">
        <v>0</v>
      </c>
      <c r="E10" s="451">
        <f t="shared" si="1"/>
        <v>0</v>
      </c>
      <c r="F10" s="455">
        <v>0</v>
      </c>
      <c r="G10" s="451">
        <f t="shared" si="2"/>
        <v>0</v>
      </c>
      <c r="H10" s="72" t="str">
        <f t="shared" si="3"/>
        <v>-</v>
      </c>
    </row>
    <row r="11" spans="1:11" ht="24" x14ac:dyDescent="0.25">
      <c r="A11" s="85" t="s">
        <v>54</v>
      </c>
      <c r="B11" s="455">
        <v>0</v>
      </c>
      <c r="C11" s="451">
        <f t="shared" si="0"/>
        <v>0</v>
      </c>
      <c r="D11" s="455">
        <v>0</v>
      </c>
      <c r="E11" s="451">
        <f t="shared" si="1"/>
        <v>0</v>
      </c>
      <c r="F11" s="455">
        <v>0</v>
      </c>
      <c r="G11" s="451">
        <f t="shared" si="2"/>
        <v>0</v>
      </c>
      <c r="H11" s="72" t="str">
        <f t="shared" si="3"/>
        <v>-</v>
      </c>
    </row>
    <row r="12" spans="1:11" x14ac:dyDescent="0.25">
      <c r="A12" s="85" t="s">
        <v>55</v>
      </c>
      <c r="B12" s="455">
        <v>0</v>
      </c>
      <c r="C12" s="451">
        <f t="shared" si="0"/>
        <v>0</v>
      </c>
      <c r="D12" s="455">
        <v>0</v>
      </c>
      <c r="E12" s="451">
        <f t="shared" si="1"/>
        <v>0</v>
      </c>
      <c r="F12" s="455">
        <v>0</v>
      </c>
      <c r="G12" s="451">
        <f t="shared" si="2"/>
        <v>0</v>
      </c>
      <c r="H12" s="72" t="str">
        <f t="shared" si="3"/>
        <v>-</v>
      </c>
    </row>
    <row r="13" spans="1:11" x14ac:dyDescent="0.25">
      <c r="A13" s="179" t="s">
        <v>192</v>
      </c>
      <c r="B13" s="456">
        <f>SUM(B7:B12)</f>
        <v>1460.3110000000001</v>
      </c>
      <c r="C13" s="457">
        <f t="shared" ref="C13:G13" si="4">SUM(C7:C12)</f>
        <v>77.400000000000006</v>
      </c>
      <c r="D13" s="456">
        <f t="shared" si="4"/>
        <v>1494.8219999999999</v>
      </c>
      <c r="E13" s="457">
        <f t="shared" si="4"/>
        <v>77.899999999999991</v>
      </c>
      <c r="F13" s="456">
        <f t="shared" si="4"/>
        <v>1437.114</v>
      </c>
      <c r="G13" s="457">
        <f t="shared" si="4"/>
        <v>73.399999999999991</v>
      </c>
      <c r="H13" s="74">
        <f t="shared" si="3"/>
        <v>96.139473462392189</v>
      </c>
    </row>
    <row r="14" spans="1:11" x14ac:dyDescent="0.25">
      <c r="A14" s="123" t="s">
        <v>56</v>
      </c>
      <c r="B14" s="462"/>
      <c r="C14" s="451"/>
      <c r="D14" s="462"/>
      <c r="E14" s="451"/>
      <c r="F14" s="462"/>
      <c r="G14" s="451"/>
      <c r="H14" s="72"/>
    </row>
    <row r="15" spans="1:11" x14ac:dyDescent="0.25">
      <c r="A15" s="85" t="s">
        <v>50</v>
      </c>
      <c r="B15" s="455">
        <v>118.348</v>
      </c>
      <c r="C15" s="451">
        <f t="shared" ref="C15:C20" si="5">IF($B$22&lt;&gt;0,ROUND(B15*100/$B$22,1),0)</f>
        <v>6.3</v>
      </c>
      <c r="D15" s="455">
        <v>95.63</v>
      </c>
      <c r="E15" s="451">
        <f t="shared" ref="E15:E20" si="6">IF($D$22&lt;&gt;0,ROUND(D15*100/$D$22,1),0)</f>
        <v>5</v>
      </c>
      <c r="F15" s="455">
        <v>71.894999999999996</v>
      </c>
      <c r="G15" s="451">
        <f t="shared" ref="G15:G20" si="7">IF($F$22&lt;&gt;0,ROUND(F15*100/$F$22,1),0)</f>
        <v>3.7</v>
      </c>
      <c r="H15" s="72">
        <f t="shared" ref="H15:H21" si="8">IF(D15&lt;&gt;0,F15/D15*100,"-")</f>
        <v>75.180382725086275</v>
      </c>
    </row>
    <row r="16" spans="1:11" s="49" customFormat="1" x14ac:dyDescent="0.25">
      <c r="A16" s="85" t="s">
        <v>51</v>
      </c>
      <c r="B16" s="455">
        <v>0</v>
      </c>
      <c r="C16" s="451">
        <f t="shared" si="5"/>
        <v>0</v>
      </c>
      <c r="D16" s="455">
        <v>0</v>
      </c>
      <c r="E16" s="451">
        <f t="shared" si="6"/>
        <v>0</v>
      </c>
      <c r="F16" s="455">
        <v>0</v>
      </c>
      <c r="G16" s="451">
        <f t="shared" si="7"/>
        <v>0</v>
      </c>
      <c r="H16" s="72" t="str">
        <f t="shared" si="8"/>
        <v>-</v>
      </c>
    </row>
    <row r="17" spans="1:9" s="49" customFormat="1" ht="24" x14ac:dyDescent="0.25">
      <c r="A17" s="85" t="s">
        <v>52</v>
      </c>
      <c r="B17" s="455">
        <v>15.337</v>
      </c>
      <c r="C17" s="451">
        <f t="shared" si="5"/>
        <v>0.8</v>
      </c>
      <c r="D17" s="455">
        <v>20.675000000000001</v>
      </c>
      <c r="E17" s="451">
        <f t="shared" si="6"/>
        <v>1.1000000000000001</v>
      </c>
      <c r="F17" s="455">
        <v>21.978999999999999</v>
      </c>
      <c r="G17" s="451">
        <f t="shared" si="7"/>
        <v>1.1000000000000001</v>
      </c>
      <c r="H17" s="72">
        <f t="shared" si="8"/>
        <v>106.30713422007254</v>
      </c>
    </row>
    <row r="18" spans="1:9" s="49" customFormat="1" ht="24" x14ac:dyDescent="0.25">
      <c r="A18" s="85" t="s">
        <v>57</v>
      </c>
      <c r="B18" s="455">
        <v>292.53699999999998</v>
      </c>
      <c r="C18" s="451">
        <f t="shared" si="5"/>
        <v>15.5</v>
      </c>
      <c r="D18" s="455">
        <v>309.11500000000001</v>
      </c>
      <c r="E18" s="451">
        <f t="shared" si="6"/>
        <v>16.100000000000001</v>
      </c>
      <c r="F18" s="455">
        <v>429.11099999999999</v>
      </c>
      <c r="G18" s="451">
        <f t="shared" si="7"/>
        <v>21.9</v>
      </c>
      <c r="H18" s="72">
        <f t="shared" si="8"/>
        <v>138.81920967924557</v>
      </c>
    </row>
    <row r="19" spans="1:9" s="49" customFormat="1" ht="24" x14ac:dyDescent="0.25">
      <c r="A19" s="85" t="s">
        <v>54</v>
      </c>
      <c r="B19" s="455">
        <v>7.0000000000000001E-3</v>
      </c>
      <c r="C19" s="451">
        <f t="shared" si="5"/>
        <v>0</v>
      </c>
      <c r="D19" s="455">
        <v>0</v>
      </c>
      <c r="E19" s="451">
        <f t="shared" si="6"/>
        <v>0</v>
      </c>
      <c r="F19" s="455">
        <v>0</v>
      </c>
      <c r="G19" s="451">
        <f t="shared" si="7"/>
        <v>0</v>
      </c>
      <c r="H19" s="72" t="str">
        <f t="shared" si="8"/>
        <v>-</v>
      </c>
    </row>
    <row r="20" spans="1:9" s="49" customFormat="1" x14ac:dyDescent="0.25">
      <c r="A20" s="85" t="s">
        <v>55</v>
      </c>
      <c r="B20" s="455">
        <v>0</v>
      </c>
      <c r="C20" s="451">
        <f t="shared" si="5"/>
        <v>0</v>
      </c>
      <c r="D20" s="455">
        <v>0</v>
      </c>
      <c r="E20" s="451">
        <f t="shared" si="6"/>
        <v>0</v>
      </c>
      <c r="F20" s="455">
        <v>0</v>
      </c>
      <c r="G20" s="451">
        <f t="shared" si="7"/>
        <v>0</v>
      </c>
      <c r="H20" s="72" t="str">
        <f t="shared" si="8"/>
        <v>-</v>
      </c>
    </row>
    <row r="21" spans="1:9" s="49" customFormat="1" x14ac:dyDescent="0.25">
      <c r="A21" s="179" t="s">
        <v>64</v>
      </c>
      <c r="B21" s="456">
        <f>SUM(B15:B20)</f>
        <v>426.22899999999998</v>
      </c>
      <c r="C21" s="458">
        <f>IF($B$22&lt;&gt;0,B21*100/$B$22,0)</f>
        <v>22.593159964803288</v>
      </c>
      <c r="D21" s="456">
        <f>SUM(D15:D20)</f>
        <v>425.42</v>
      </c>
      <c r="E21" s="458">
        <f>IF($D$22&lt;&gt;0,D21*100/$D$22,0)</f>
        <v>22.154499276653674</v>
      </c>
      <c r="F21" s="456">
        <f>SUM(F15:F20)</f>
        <v>522.98500000000001</v>
      </c>
      <c r="G21" s="458">
        <f>IF($F$22&lt;&gt;0,F21*100/$F$22,0)</f>
        <v>26.681560472200637</v>
      </c>
      <c r="H21" s="74">
        <f t="shared" si="8"/>
        <v>122.93380659113346</v>
      </c>
    </row>
    <row r="22" spans="1:9" s="2" customFormat="1" ht="14.1" customHeight="1" thickBot="1" x14ac:dyDescent="0.3">
      <c r="A22" s="196" t="s">
        <v>514</v>
      </c>
      <c r="B22" s="459">
        <f t="shared" ref="B22:C22" si="9">B13+B21</f>
        <v>1886.5400000000002</v>
      </c>
      <c r="C22" s="460">
        <f t="shared" si="9"/>
        <v>99.993159964803297</v>
      </c>
      <c r="D22" s="459">
        <f>D13+D21</f>
        <v>1920.242</v>
      </c>
      <c r="E22" s="460">
        <f t="shared" ref="E22:G22" si="10">E13+E21</f>
        <v>100.05449927665367</v>
      </c>
      <c r="F22" s="459">
        <f t="shared" si="10"/>
        <v>1960.0990000000002</v>
      </c>
      <c r="G22" s="460">
        <f t="shared" si="10"/>
        <v>100.08156047220064</v>
      </c>
      <c r="H22" s="79">
        <f t="shared" ref="H22" si="11">IF(D22&lt;&gt;0,F22/D22*100,"")</f>
        <v>102.07562380158335</v>
      </c>
      <c r="I22"/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21 E21" formula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710" customWidth="1"/>
    <col min="2" max="2" width="10.85546875" style="710" customWidth="1"/>
    <col min="3" max="3" width="5.5703125" style="710" customWidth="1"/>
    <col min="4" max="4" width="11.28515625" style="710" customWidth="1"/>
    <col min="5" max="5" width="5.5703125" style="710" customWidth="1"/>
    <col min="6" max="6" width="10.5703125" style="710" customWidth="1"/>
    <col min="7" max="7" width="5.5703125" style="710" customWidth="1"/>
    <col min="8" max="8" width="6.85546875" style="710" customWidth="1"/>
    <col min="9" max="16384" width="9.140625" style="710"/>
  </cols>
  <sheetData>
    <row r="1" spans="1:9" ht="15" hidden="1" customHeight="1" x14ac:dyDescent="0.25">
      <c r="A1" s="202"/>
    </row>
    <row r="3" spans="1:9" x14ac:dyDescent="0.25">
      <c r="A3" s="81" t="s">
        <v>338</v>
      </c>
      <c r="B3" s="712"/>
      <c r="C3" s="712"/>
      <c r="D3" s="712"/>
      <c r="E3" s="712"/>
      <c r="F3" s="712"/>
      <c r="G3" s="712"/>
      <c r="H3" s="443" t="s">
        <v>399</v>
      </c>
    </row>
    <row r="4" spans="1:9" x14ac:dyDescent="0.25">
      <c r="A4" s="768" t="s">
        <v>12</v>
      </c>
      <c r="B4" s="770" t="s">
        <v>529</v>
      </c>
      <c r="C4" s="772"/>
      <c r="D4" s="770" t="s">
        <v>530</v>
      </c>
      <c r="E4" s="772"/>
      <c r="F4" s="770" t="s">
        <v>531</v>
      </c>
      <c r="G4" s="772"/>
      <c r="H4" s="779" t="s">
        <v>11</v>
      </c>
    </row>
    <row r="5" spans="1:9" x14ac:dyDescent="0.25">
      <c r="A5" s="769"/>
      <c r="B5" s="711" t="s">
        <v>2</v>
      </c>
      <c r="C5" s="143" t="s">
        <v>3</v>
      </c>
      <c r="D5" s="711" t="s">
        <v>2</v>
      </c>
      <c r="E5" s="143" t="s">
        <v>3</v>
      </c>
      <c r="F5" s="711" t="s">
        <v>2</v>
      </c>
      <c r="G5" s="143" t="s">
        <v>3</v>
      </c>
      <c r="H5" s="778"/>
    </row>
    <row r="6" spans="1:9" s="32" customFormat="1" ht="14.1" customHeight="1" x14ac:dyDescent="0.25">
      <c r="A6" s="85" t="s">
        <v>415</v>
      </c>
      <c r="B6" s="86">
        <v>653.90599999999995</v>
      </c>
      <c r="C6" s="144">
        <f>IF($B$14&lt;&gt;0,B6*100/$B$14,0)</f>
        <v>11.96908165093836</v>
      </c>
      <c r="D6" s="86">
        <v>683.86599999999999</v>
      </c>
      <c r="E6" s="144">
        <f>IF($D$14&lt;&gt;0,D6*100/$D$14,0)</f>
        <v>12.44794365728538</v>
      </c>
      <c r="F6" s="86">
        <v>688.13099999999997</v>
      </c>
      <c r="G6" s="144">
        <f>IF($F$14&lt;&gt;0,F6*100/$F$14,0)</f>
        <v>12.451449946829038</v>
      </c>
      <c r="H6" s="72">
        <f>IF(D6&lt;&gt;0,F6/D6*100,"-")</f>
        <v>100.62366019073912</v>
      </c>
    </row>
    <row r="7" spans="1:9" s="49" customFormat="1" ht="14.1" customHeight="1" x14ac:dyDescent="0.25">
      <c r="A7" s="85" t="s">
        <v>416</v>
      </c>
      <c r="B7" s="86">
        <v>254.09299999999999</v>
      </c>
      <c r="C7" s="144">
        <f>IF($B$14&lt;&gt;0,B7*100/$B$14,0)</f>
        <v>4.6509129201014838</v>
      </c>
      <c r="D7" s="86">
        <v>247.898</v>
      </c>
      <c r="E7" s="144">
        <f t="shared" ref="E7:E13" si="0">IF($D$14&lt;&gt;0,D7*100/$D$14,0)</f>
        <v>4.5123172328405428</v>
      </c>
      <c r="F7" s="86">
        <v>243.63200000000001</v>
      </c>
      <c r="G7" s="144">
        <f t="shared" ref="G7:G13" si="1">IF($F$14&lt;&gt;0,F7*100/$F$14,0)</f>
        <v>4.4084217299407422</v>
      </c>
      <c r="H7" s="72">
        <f>IF(D7&lt;&gt;0,F7/D7*100,"-")</f>
        <v>98.279130932883689</v>
      </c>
    </row>
    <row r="8" spans="1:9" s="49" customFormat="1" ht="14.1" customHeight="1" x14ac:dyDescent="0.25">
      <c r="A8" s="85" t="s">
        <v>417</v>
      </c>
      <c r="B8" s="86">
        <v>1982.1130000000001</v>
      </c>
      <c r="C8" s="144">
        <f t="shared" ref="C8:C13" si="2">IF($B$14&lt;&gt;0,B8*100/$B$14,0)</f>
        <v>36.280554603240205</v>
      </c>
      <c r="D8" s="86">
        <v>1916.645</v>
      </c>
      <c r="E8" s="144">
        <f t="shared" si="0"/>
        <v>34.887374092318865</v>
      </c>
      <c r="F8" s="86">
        <v>1915.481</v>
      </c>
      <c r="G8" s="144">
        <f t="shared" si="1"/>
        <v>34.659847900475398</v>
      </c>
      <c r="H8" s="72">
        <f>IF(D8&lt;&gt;0,F8/D8*100,"-")</f>
        <v>99.939268878691678</v>
      </c>
    </row>
    <row r="9" spans="1:9" s="49" customFormat="1" ht="14.1" customHeight="1" x14ac:dyDescent="0.25">
      <c r="A9" s="85" t="s">
        <v>418</v>
      </c>
      <c r="B9" s="86">
        <v>6.7930000000000001</v>
      </c>
      <c r="C9" s="144">
        <f t="shared" si="2"/>
        <v>0.12433892892070771</v>
      </c>
      <c r="D9" s="86">
        <v>6.3449999999999998</v>
      </c>
      <c r="E9" s="144">
        <f t="shared" si="0"/>
        <v>0.11549368224984972</v>
      </c>
      <c r="F9" s="86">
        <v>5.335</v>
      </c>
      <c r="G9" s="144">
        <f t="shared" si="1"/>
        <v>9.6534650330144883E-2</v>
      </c>
      <c r="H9" s="72">
        <f>IF(D9&lt;&gt;0,F9/D9*100,"-")</f>
        <v>84.081954294720248</v>
      </c>
    </row>
    <row r="10" spans="1:9" s="49" customFormat="1" ht="14.1" customHeight="1" x14ac:dyDescent="0.25">
      <c r="A10" s="85" t="s">
        <v>419</v>
      </c>
      <c r="B10" s="86">
        <v>0</v>
      </c>
      <c r="C10" s="144">
        <f t="shared" si="2"/>
        <v>0</v>
      </c>
      <c r="D10" s="86">
        <v>0</v>
      </c>
      <c r="E10" s="144">
        <f t="shared" si="0"/>
        <v>0</v>
      </c>
      <c r="F10" s="86">
        <v>0</v>
      </c>
      <c r="G10" s="144">
        <f t="shared" si="1"/>
        <v>0</v>
      </c>
      <c r="H10" s="72" t="str">
        <f t="shared" ref="H10:H13" si="3">IF(D10&lt;&gt;0,F10/D10*100,"-")</f>
        <v>-</v>
      </c>
    </row>
    <row r="11" spans="1:9" s="49" customFormat="1" ht="14.1" customHeight="1" x14ac:dyDescent="0.25">
      <c r="A11" s="85" t="s">
        <v>420</v>
      </c>
      <c r="B11" s="86">
        <v>53.337000000000003</v>
      </c>
      <c r="C11" s="144">
        <f t="shared" si="2"/>
        <v>0.97627932457585564</v>
      </c>
      <c r="D11" s="86">
        <v>56.411999999999999</v>
      </c>
      <c r="E11" s="144">
        <f t="shared" si="0"/>
        <v>1.0268289366554015</v>
      </c>
      <c r="F11" s="86">
        <v>55.994999999999997</v>
      </c>
      <c r="G11" s="144">
        <f t="shared" si="1"/>
        <v>1.0132067001380436</v>
      </c>
      <c r="H11" s="72">
        <f>IF(D11&lt;&gt;0,F11/D11*100,"-")</f>
        <v>99.260795575409489</v>
      </c>
    </row>
    <row r="12" spans="1:9" s="49" customFormat="1" ht="14.1" customHeight="1" x14ac:dyDescent="0.25">
      <c r="A12" s="85" t="s">
        <v>421</v>
      </c>
      <c r="B12" s="86">
        <v>2502.1010000000001</v>
      </c>
      <c r="C12" s="144">
        <f t="shared" si="2"/>
        <v>45.798404002860543</v>
      </c>
      <c r="D12" s="86">
        <v>2572.7579999999998</v>
      </c>
      <c r="E12" s="144">
        <f t="shared" si="0"/>
        <v>46.830148929512823</v>
      </c>
      <c r="F12" s="86">
        <v>2608.4270000000001</v>
      </c>
      <c r="G12" s="144">
        <f t="shared" si="1"/>
        <v>47.19842330959866</v>
      </c>
      <c r="H12" s="72">
        <f>IF(D12&lt;&gt;0,F12/D12*100,"-")</f>
        <v>101.38641100328908</v>
      </c>
    </row>
    <row r="13" spans="1:9" s="49" customFormat="1" ht="14.1" customHeight="1" x14ac:dyDescent="0.25">
      <c r="A13" s="85" t="s">
        <v>241</v>
      </c>
      <c r="B13" s="86">
        <v>10.95</v>
      </c>
      <c r="C13" s="144">
        <f t="shared" si="2"/>
        <v>0.20042856936283665</v>
      </c>
      <c r="D13" s="86">
        <v>9.8829999999999991</v>
      </c>
      <c r="E13" s="144">
        <f t="shared" si="0"/>
        <v>0.17989346913715756</v>
      </c>
      <c r="F13" s="86">
        <v>9.5120000000000005</v>
      </c>
      <c r="G13" s="144">
        <f t="shared" si="1"/>
        <v>0.17211576268797343</v>
      </c>
      <c r="H13" s="72">
        <f t="shared" si="3"/>
        <v>96.246079125771544</v>
      </c>
    </row>
    <row r="14" spans="1:9" s="141" customFormat="1" ht="14.1" customHeight="1" thickBot="1" x14ac:dyDescent="0.3">
      <c r="A14" s="145" t="s">
        <v>64</v>
      </c>
      <c r="B14" s="146">
        <f>SUM(B6:B13)</f>
        <v>5463.2930000000006</v>
      </c>
      <c r="C14" s="147">
        <f>SUM(C6:C13)</f>
        <v>99.999999999999986</v>
      </c>
      <c r="D14" s="146">
        <f>SUM(D6:D13)</f>
        <v>5493.8069999999989</v>
      </c>
      <c r="E14" s="147">
        <f>SUM(E6:E13)</f>
        <v>100.00000000000001</v>
      </c>
      <c r="F14" s="146">
        <f>SUM(F6:F13)</f>
        <v>5526.5129999999999</v>
      </c>
      <c r="G14" s="147">
        <f t="shared" ref="G14" si="4">SUM(G6:G13)</f>
        <v>100</v>
      </c>
      <c r="H14" s="148">
        <f>IF(D14&lt;&gt;0,F14/D14*100,"-")</f>
        <v>100.59532488127087</v>
      </c>
      <c r="I14" s="49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50" customWidth="1"/>
    <col min="2" max="3" width="7.7109375" style="50" customWidth="1"/>
    <col min="4" max="4" width="5.85546875" style="50" customWidth="1"/>
    <col min="5" max="6" width="7.7109375" style="50" customWidth="1"/>
    <col min="7" max="7" width="6.42578125" style="50" customWidth="1"/>
    <col min="8" max="9" width="7.7109375" style="50" customWidth="1"/>
    <col min="10" max="10" width="7" style="50" customWidth="1"/>
    <col min="11" max="16384" width="8.7109375" style="4"/>
  </cols>
  <sheetData>
    <row r="1" spans="1:31" hidden="1" x14ac:dyDescent="0.25">
      <c r="A1" s="156"/>
      <c r="B1" s="51"/>
    </row>
    <row r="2" spans="1:31" x14ac:dyDescent="0.25">
      <c r="A2" s="202"/>
    </row>
    <row r="3" spans="1:31" x14ac:dyDescent="0.2">
      <c r="A3" s="81" t="s">
        <v>386</v>
      </c>
      <c r="B3" s="81"/>
      <c r="C3" s="81"/>
      <c r="D3" s="81"/>
      <c r="E3" s="81"/>
      <c r="F3" s="81"/>
      <c r="G3" s="81"/>
      <c r="H3" s="218"/>
      <c r="I3" s="802" t="s">
        <v>399</v>
      </c>
      <c r="J3" s="803" t="s">
        <v>13</v>
      </c>
    </row>
    <row r="4" spans="1:31" ht="24.75" customHeight="1" x14ac:dyDescent="0.2">
      <c r="A4" s="768" t="s">
        <v>12</v>
      </c>
      <c r="B4" s="799" t="s">
        <v>116</v>
      </c>
      <c r="C4" s="800"/>
      <c r="D4" s="800"/>
      <c r="E4" s="799" t="s">
        <v>59</v>
      </c>
      <c r="F4" s="800"/>
      <c r="G4" s="800" t="s">
        <v>30</v>
      </c>
      <c r="H4" s="799" t="s">
        <v>58</v>
      </c>
      <c r="I4" s="800"/>
      <c r="J4" s="801" t="s">
        <v>30</v>
      </c>
    </row>
    <row r="5" spans="1:31" ht="15" customHeight="1" x14ac:dyDescent="0.2">
      <c r="A5" s="798"/>
      <c r="B5" s="219" t="s">
        <v>530</v>
      </c>
      <c r="C5" s="220" t="s">
        <v>531</v>
      </c>
      <c r="D5" s="205" t="s">
        <v>11</v>
      </c>
      <c r="E5" s="219" t="s">
        <v>530</v>
      </c>
      <c r="F5" s="220" t="s">
        <v>531</v>
      </c>
      <c r="G5" s="205" t="s">
        <v>11</v>
      </c>
      <c r="H5" s="219" t="s">
        <v>530</v>
      </c>
      <c r="I5" s="220" t="s">
        <v>531</v>
      </c>
      <c r="J5" s="204" t="s">
        <v>11</v>
      </c>
    </row>
    <row r="6" spans="1:31" s="17" customFormat="1" ht="14.1" customHeight="1" x14ac:dyDescent="0.2">
      <c r="A6" s="206" t="s">
        <v>415</v>
      </c>
      <c r="B6" s="207">
        <v>6.3010000000000002</v>
      </c>
      <c r="C6" s="208">
        <v>6.5789999999999997</v>
      </c>
      <c r="D6" s="209">
        <f>IF(B6&lt;&gt;0,C6/B6*100,"-")</f>
        <v>104.41199809554038</v>
      </c>
      <c r="E6" s="207">
        <v>676.10400000000004</v>
      </c>
      <c r="F6" s="208">
        <v>680.71299999999997</v>
      </c>
      <c r="G6" s="210">
        <f>IF(E6&lt;&gt;0,F6/E6*100,"-")</f>
        <v>100.68169985682675</v>
      </c>
      <c r="H6" s="207">
        <v>1.4610000000000001</v>
      </c>
      <c r="I6" s="208">
        <v>0.83899999999999997</v>
      </c>
      <c r="J6" s="211">
        <f>IF(H6&lt;&gt;0,I6/H6*100,"-")</f>
        <v>57.426420260095824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7" customFormat="1" ht="14.1" customHeight="1" x14ac:dyDescent="0.2">
      <c r="A7" s="206" t="s">
        <v>416</v>
      </c>
      <c r="B7" s="212">
        <v>16.683</v>
      </c>
      <c r="C7" s="213">
        <v>16.498000000000001</v>
      </c>
      <c r="D7" s="211">
        <f t="shared" ref="D7:D14" si="0">IF(B7&lt;&gt;0,C7/B7*100,"-")</f>
        <v>98.891086734999718</v>
      </c>
      <c r="E7" s="212">
        <v>228.01599999999999</v>
      </c>
      <c r="F7" s="213">
        <v>224.398</v>
      </c>
      <c r="G7" s="210">
        <f t="shared" ref="G7:G14" si="1">IF(E7&lt;&gt;0,F7/E7*100,"-")</f>
        <v>98.41326924426356</v>
      </c>
      <c r="H7" s="212">
        <v>3.1989999999999998</v>
      </c>
      <c r="I7" s="213">
        <v>2.7360000000000002</v>
      </c>
      <c r="J7" s="211">
        <f t="shared" ref="J7:J14" si="2">IF(H7&lt;&gt;0,I7/H7*100,"-")</f>
        <v>85.526727102219454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2" customFormat="1" ht="14.1" customHeight="1" x14ac:dyDescent="0.2">
      <c r="A8" s="206" t="s">
        <v>417</v>
      </c>
      <c r="B8" s="212">
        <v>556.70399999999995</v>
      </c>
      <c r="C8" s="213">
        <v>555.74699999999996</v>
      </c>
      <c r="D8" s="211">
        <f t="shared" si="0"/>
        <v>99.828095361269192</v>
      </c>
      <c r="E8" s="212">
        <v>1231.394</v>
      </c>
      <c r="F8" s="213">
        <v>1220.269</v>
      </c>
      <c r="G8" s="210">
        <f t="shared" si="1"/>
        <v>99.096552362606928</v>
      </c>
      <c r="H8" s="212">
        <v>128.547</v>
      </c>
      <c r="I8" s="213">
        <v>139.465</v>
      </c>
      <c r="J8" s="211">
        <f t="shared" si="2"/>
        <v>108.49339152216699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7" customFormat="1" ht="14.1" customHeight="1" x14ac:dyDescent="0.2">
      <c r="A9" s="206" t="s">
        <v>418</v>
      </c>
      <c r="B9" s="212">
        <v>1.429</v>
      </c>
      <c r="C9" s="213">
        <v>0.78300000000000003</v>
      </c>
      <c r="D9" s="211">
        <f t="shared" si="0"/>
        <v>54.793561931420577</v>
      </c>
      <c r="E9" s="212">
        <v>4.8559999999999999</v>
      </c>
      <c r="F9" s="213">
        <v>4.4969999999999999</v>
      </c>
      <c r="G9" s="210">
        <f t="shared" si="1"/>
        <v>92.60708401976936</v>
      </c>
      <c r="H9" s="212">
        <v>0.06</v>
      </c>
      <c r="I9" s="213">
        <v>5.5E-2</v>
      </c>
      <c r="J9" s="211">
        <f t="shared" si="2"/>
        <v>91.666666666666671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2" customFormat="1" ht="14.1" customHeight="1" x14ac:dyDescent="0.2">
      <c r="A10" s="206" t="s">
        <v>419</v>
      </c>
      <c r="B10" s="212">
        <v>0</v>
      </c>
      <c r="C10" s="213">
        <v>0</v>
      </c>
      <c r="D10" s="211" t="str">
        <f t="shared" si="0"/>
        <v>-</v>
      </c>
      <c r="E10" s="212">
        <v>0</v>
      </c>
      <c r="F10" s="213">
        <v>0</v>
      </c>
      <c r="G10" s="210" t="str">
        <f t="shared" si="1"/>
        <v>-</v>
      </c>
      <c r="H10" s="212">
        <v>0</v>
      </c>
      <c r="I10" s="213">
        <v>0</v>
      </c>
      <c r="J10" s="211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7" customFormat="1" ht="14.1" customHeight="1" x14ac:dyDescent="0.2">
      <c r="A11" s="206" t="s">
        <v>420</v>
      </c>
      <c r="B11" s="212">
        <v>2.2050000000000001</v>
      </c>
      <c r="C11" s="213">
        <v>1.1950000000000001</v>
      </c>
      <c r="D11" s="211">
        <f t="shared" si="0"/>
        <v>54.195011337868479</v>
      </c>
      <c r="E11" s="212">
        <v>53.776000000000003</v>
      </c>
      <c r="F11" s="213">
        <v>54.371000000000002</v>
      </c>
      <c r="G11" s="210">
        <f t="shared" si="1"/>
        <v>101.10644153525736</v>
      </c>
      <c r="H11" s="212">
        <v>0.43099999999999999</v>
      </c>
      <c r="I11" s="213">
        <v>0.42899999999999999</v>
      </c>
      <c r="J11" s="211">
        <f t="shared" si="2"/>
        <v>99.535962877030158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2" customFormat="1" ht="14.1" customHeight="1" x14ac:dyDescent="0.2">
      <c r="A12" s="206" t="s">
        <v>421</v>
      </c>
      <c r="B12" s="212">
        <v>174.029</v>
      </c>
      <c r="C12" s="213">
        <v>174.44200000000001</v>
      </c>
      <c r="D12" s="211">
        <f t="shared" si="0"/>
        <v>100.23731676904424</v>
      </c>
      <c r="E12" s="212">
        <v>2324.8530000000001</v>
      </c>
      <c r="F12" s="213">
        <v>2360.2179999999998</v>
      </c>
      <c r="G12" s="210">
        <f t="shared" si="1"/>
        <v>101.52117144610861</v>
      </c>
      <c r="H12" s="212">
        <v>73.876000000000005</v>
      </c>
      <c r="I12" s="213">
        <v>73.766999999999996</v>
      </c>
      <c r="J12" s="211">
        <f t="shared" si="2"/>
        <v>99.852455465915853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2" customFormat="1" ht="14.1" customHeight="1" x14ac:dyDescent="0.2">
      <c r="A13" s="206" t="s">
        <v>241</v>
      </c>
      <c r="B13" s="212">
        <v>0.42899999999999999</v>
      </c>
      <c r="C13" s="213">
        <v>0.44500000000000001</v>
      </c>
      <c r="D13" s="211">
        <f t="shared" si="0"/>
        <v>103.72960372960374</v>
      </c>
      <c r="E13" s="212">
        <v>9.3290000000000006</v>
      </c>
      <c r="F13" s="213">
        <v>8.9730000000000008</v>
      </c>
      <c r="G13" s="210">
        <f t="shared" si="1"/>
        <v>96.183942544752924</v>
      </c>
      <c r="H13" s="212">
        <v>0.125</v>
      </c>
      <c r="I13" s="213">
        <v>9.4E-2</v>
      </c>
      <c r="J13" s="211">
        <f t="shared" si="2"/>
        <v>75.2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3" customFormat="1" ht="14.1" customHeight="1" thickBot="1" x14ac:dyDescent="0.25">
      <c r="A14" s="214" t="s">
        <v>64</v>
      </c>
      <c r="B14" s="215">
        <f>SUM(B6:B13)</f>
        <v>757.78</v>
      </c>
      <c r="C14" s="216">
        <f>SUM(C6:C13)</f>
        <v>755.68900000000008</v>
      </c>
      <c r="D14" s="742">
        <f t="shared" si="0"/>
        <v>99.724062392778919</v>
      </c>
      <c r="E14" s="215">
        <f>SUM(E6:E13)</f>
        <v>4528.3279999999995</v>
      </c>
      <c r="F14" s="216">
        <f>SUM(F6:F13)</f>
        <v>4553.4390000000003</v>
      </c>
      <c r="G14" s="742">
        <f t="shared" si="1"/>
        <v>100.5545313855357</v>
      </c>
      <c r="H14" s="217">
        <f t="shared" ref="H14:I14" si="3">SUM(H6:H13)</f>
        <v>207.69900000000001</v>
      </c>
      <c r="I14" s="216">
        <f t="shared" si="3"/>
        <v>217.38499999999999</v>
      </c>
      <c r="J14" s="742">
        <f t="shared" si="2"/>
        <v>104.66347936196129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59" customWidth="1"/>
    <col min="2" max="2" width="7.28515625" style="159" customWidth="1"/>
    <col min="3" max="3" width="5.28515625" style="159" customWidth="1"/>
    <col min="4" max="4" width="7.28515625" style="159" customWidth="1"/>
    <col min="5" max="5" width="5.28515625" style="159" customWidth="1"/>
    <col min="6" max="6" width="7.28515625" style="159" customWidth="1"/>
    <col min="7" max="7" width="5.28515625" style="159" customWidth="1"/>
    <col min="8" max="8" width="7.28515625" style="159" customWidth="1"/>
    <col min="9" max="9" width="5.28515625" style="159" customWidth="1"/>
    <col min="10" max="10" width="7.28515625" style="159" customWidth="1"/>
    <col min="11" max="11" width="5.28515625" style="159" customWidth="1"/>
    <col min="12" max="12" width="7.28515625" style="159" customWidth="1"/>
    <col min="13" max="13" width="5.28515625" style="159" customWidth="1"/>
    <col min="14" max="14" width="6.28515625" style="159" customWidth="1"/>
    <col min="15" max="16384" width="8.7109375" style="40"/>
  </cols>
  <sheetData>
    <row r="1" spans="1:14" hidden="1" x14ac:dyDescent="0.25"/>
    <row r="2" spans="1:14" x14ac:dyDescent="0.25">
      <c r="B2" s="29"/>
      <c r="C2" s="29"/>
      <c r="D2" s="29"/>
      <c r="E2" s="29"/>
      <c r="F2" s="29"/>
      <c r="G2" s="29"/>
      <c r="H2" s="29"/>
      <c r="I2" s="29"/>
    </row>
    <row r="3" spans="1:14" ht="12.75" x14ac:dyDescent="0.2">
      <c r="A3" s="157" t="s">
        <v>385</v>
      </c>
      <c r="B3" s="450"/>
      <c r="C3" s="450"/>
      <c r="D3" s="450"/>
      <c r="E3" s="450"/>
      <c r="F3" s="450"/>
      <c r="G3" s="450"/>
      <c r="H3" s="450"/>
      <c r="I3" s="450"/>
      <c r="J3" s="150"/>
      <c r="K3" s="150"/>
      <c r="L3" s="150"/>
      <c r="M3" s="150"/>
      <c r="N3" s="443" t="s">
        <v>399</v>
      </c>
    </row>
    <row r="4" spans="1:14" ht="12" customHeight="1" x14ac:dyDescent="0.2">
      <c r="A4" s="768" t="s">
        <v>12</v>
      </c>
      <c r="B4" s="781" t="s">
        <v>530</v>
      </c>
      <c r="C4" s="790"/>
      <c r="D4" s="790"/>
      <c r="E4" s="790"/>
      <c r="F4" s="790"/>
      <c r="G4" s="790"/>
      <c r="H4" s="781" t="s">
        <v>531</v>
      </c>
      <c r="I4" s="790"/>
      <c r="J4" s="790"/>
      <c r="K4" s="790"/>
      <c r="L4" s="790"/>
      <c r="M4" s="791"/>
      <c r="N4" s="787" t="s">
        <v>11</v>
      </c>
    </row>
    <row r="5" spans="1:14" ht="36" x14ac:dyDescent="0.2">
      <c r="A5" s="789"/>
      <c r="B5" s="186" t="s">
        <v>45</v>
      </c>
      <c r="C5" s="187" t="s">
        <v>3</v>
      </c>
      <c r="D5" s="187" t="s">
        <v>136</v>
      </c>
      <c r="E5" s="187" t="s">
        <v>3</v>
      </c>
      <c r="F5" s="187" t="s">
        <v>41</v>
      </c>
      <c r="G5" s="187" t="s">
        <v>3</v>
      </c>
      <c r="H5" s="186" t="s">
        <v>45</v>
      </c>
      <c r="I5" s="187" t="s">
        <v>3</v>
      </c>
      <c r="J5" s="187" t="s">
        <v>136</v>
      </c>
      <c r="K5" s="187" t="s">
        <v>3</v>
      </c>
      <c r="L5" s="187" t="s">
        <v>41</v>
      </c>
      <c r="M5" s="188" t="s">
        <v>3</v>
      </c>
      <c r="N5" s="788"/>
    </row>
    <row r="6" spans="1:14" ht="14.1" customHeight="1" x14ac:dyDescent="0.2">
      <c r="A6" s="555" t="s">
        <v>60</v>
      </c>
      <c r="B6" s="556"/>
      <c r="C6" s="557"/>
      <c r="D6" s="558"/>
      <c r="E6" s="557"/>
      <c r="F6" s="559"/>
      <c r="G6" s="557"/>
      <c r="H6" s="556"/>
      <c r="I6" s="557"/>
      <c r="J6" s="558"/>
      <c r="K6" s="557"/>
      <c r="L6" s="559"/>
      <c r="M6" s="560"/>
      <c r="N6" s="559"/>
    </row>
    <row r="7" spans="1:14" ht="14.1" customHeight="1" x14ac:dyDescent="0.2">
      <c r="A7" s="206" t="s">
        <v>422</v>
      </c>
      <c r="B7" s="561">
        <v>7.7619999999999996</v>
      </c>
      <c r="C7" s="562">
        <f>IF(B$20&gt;0,B7*100/B$20,0)</f>
        <v>0.14128636116995005</v>
      </c>
      <c r="D7" s="563">
        <v>0</v>
      </c>
      <c r="E7" s="562">
        <f>IF(D$20&gt;0,D7*100/D$20,0)</f>
        <v>0</v>
      </c>
      <c r="F7" s="213">
        <f>B7+D7</f>
        <v>7.7619999999999996</v>
      </c>
      <c r="G7" s="562">
        <f>IF(F$20&gt;0,F7*100/F$20,0)</f>
        <v>0.10950451815472612</v>
      </c>
      <c r="H7" s="561">
        <v>7.4180000000000001</v>
      </c>
      <c r="I7" s="562">
        <f>IF(H$20&gt;0,H7*100/H$20,0)</f>
        <v>0.13422568625098685</v>
      </c>
      <c r="J7" s="563">
        <v>7.6769999999999996</v>
      </c>
      <c r="K7" s="562">
        <f>IF(J$20&gt;0,J7*100/J$20,0)</f>
        <v>0.47779768687914154</v>
      </c>
      <c r="L7" s="213">
        <f>H7+J7</f>
        <v>15.094999999999999</v>
      </c>
      <c r="M7" s="564">
        <f>IF(L$20&gt;0,L7*100/L$20,0)</f>
        <v>0.2116143250070795</v>
      </c>
      <c r="N7" s="565">
        <f>IF(F7&lt;&gt;0,L7*100/F7,0)</f>
        <v>194.47307395001289</v>
      </c>
    </row>
    <row r="8" spans="1:14" ht="14.1" customHeight="1" x14ac:dyDescent="0.2">
      <c r="A8" s="206" t="s">
        <v>423</v>
      </c>
      <c r="B8" s="561">
        <v>705.13300000000004</v>
      </c>
      <c r="C8" s="562">
        <f>IF(B$20&gt;0,B8*100/B$20,0)</f>
        <v>12.83505226885473</v>
      </c>
      <c r="D8" s="563">
        <v>243.69399999999999</v>
      </c>
      <c r="E8" s="562">
        <f t="shared" ref="E8:E11" si="0">IF(D$20&gt;0,D8*100/D$20,0)</f>
        <v>15.283555505382616</v>
      </c>
      <c r="F8" s="213">
        <f t="shared" ref="F8:F11" si="1">B8+D8</f>
        <v>948.827</v>
      </c>
      <c r="G8" s="562">
        <f t="shared" ref="G8:G11" si="2">IF(F$20&gt;0,F8*100/F$20,0)</f>
        <v>13.385833992166235</v>
      </c>
      <c r="H8" s="561">
        <v>714.44600000000003</v>
      </c>
      <c r="I8" s="562">
        <f>IF(H$20&gt;0,H8*100/H$20,0)</f>
        <v>12.927609145224123</v>
      </c>
      <c r="J8" s="563">
        <v>245.506</v>
      </c>
      <c r="K8" s="562">
        <f>IF(J$20&gt;0,J8*100/J$20,0)</f>
        <v>15.279692446912925</v>
      </c>
      <c r="L8" s="213">
        <f t="shared" ref="L8:L11" si="3">H8+J8</f>
        <v>959.952</v>
      </c>
      <c r="M8" s="564">
        <f t="shared" ref="M8:M11" si="4">IF(L$20&gt;0,L8*100/L$20,0)</f>
        <v>13.457409375236567</v>
      </c>
      <c r="N8" s="565">
        <f>IF(F8&lt;&gt;0,L8*100/F8,0)</f>
        <v>101.17250036097202</v>
      </c>
    </row>
    <row r="9" spans="1:14" ht="14.1" customHeight="1" x14ac:dyDescent="0.2">
      <c r="A9" s="206" t="s">
        <v>424</v>
      </c>
      <c r="B9" s="561">
        <v>0</v>
      </c>
      <c r="C9" s="562">
        <f>IF(B$20&gt;0,B9*100/B$20,0)</f>
        <v>0</v>
      </c>
      <c r="D9" s="563">
        <v>0</v>
      </c>
      <c r="E9" s="562">
        <f t="shared" si="0"/>
        <v>0</v>
      </c>
      <c r="F9" s="213">
        <f t="shared" si="1"/>
        <v>0</v>
      </c>
      <c r="G9" s="562">
        <f t="shared" si="2"/>
        <v>0</v>
      </c>
      <c r="H9" s="561">
        <v>0</v>
      </c>
      <c r="I9" s="562">
        <f t="shared" ref="I9:K11" si="5">IF(H$20&gt;0,H9*100/H$20,0)</f>
        <v>0</v>
      </c>
      <c r="J9" s="563">
        <v>0</v>
      </c>
      <c r="K9" s="562">
        <f t="shared" si="5"/>
        <v>0</v>
      </c>
      <c r="L9" s="213">
        <f t="shared" si="3"/>
        <v>0</v>
      </c>
      <c r="M9" s="564">
        <f t="shared" si="4"/>
        <v>0</v>
      </c>
      <c r="N9" s="565">
        <f>IF(F9&lt;&gt;0,L9*100/F9,0)</f>
        <v>0</v>
      </c>
    </row>
    <row r="10" spans="1:14" ht="14.1" customHeight="1" x14ac:dyDescent="0.2">
      <c r="A10" s="206" t="s">
        <v>421</v>
      </c>
      <c r="B10" s="566">
        <v>247.905</v>
      </c>
      <c r="C10" s="562">
        <f>IF(B$20&gt;0,B10*100/B$20,0)</f>
        <v>4.5124446490384527</v>
      </c>
      <c r="D10" s="213">
        <v>37.659999999999997</v>
      </c>
      <c r="E10" s="562">
        <f t="shared" si="0"/>
        <v>2.3618911435353733</v>
      </c>
      <c r="F10" s="567">
        <f t="shared" si="1"/>
        <v>285.565</v>
      </c>
      <c r="G10" s="562">
        <f t="shared" si="2"/>
        <v>4.0286856128387489</v>
      </c>
      <c r="H10" s="566">
        <v>248.21</v>
      </c>
      <c r="I10" s="562">
        <f t="shared" si="5"/>
        <v>4.4912587738416612</v>
      </c>
      <c r="J10" s="213">
        <v>37.137999999999998</v>
      </c>
      <c r="K10" s="562">
        <f t="shared" si="5"/>
        <v>2.3113782070232589</v>
      </c>
      <c r="L10" s="567">
        <f t="shared" si="3"/>
        <v>285.34800000000001</v>
      </c>
      <c r="M10" s="564">
        <f t="shared" si="4"/>
        <v>4.0002467315084553</v>
      </c>
      <c r="N10" s="565">
        <f t="shared" ref="N10:N20" si="6">IF(F10&lt;&gt;0,L10*100/F10,0)</f>
        <v>99.924010295379347</v>
      </c>
    </row>
    <row r="11" spans="1:14" ht="14.1" customHeight="1" x14ac:dyDescent="0.2">
      <c r="A11" s="206" t="s">
        <v>241</v>
      </c>
      <c r="B11" s="561">
        <v>4.6790000000000003</v>
      </c>
      <c r="C11" s="562">
        <f>IF(B$20&gt;0,B11*100/B$20,0)</f>
        <v>8.5168627146894674E-2</v>
      </c>
      <c r="D11" s="563">
        <v>1.2709999999999999</v>
      </c>
      <c r="E11" s="562">
        <f t="shared" si="0"/>
        <v>7.9712258189948482E-2</v>
      </c>
      <c r="F11" s="213">
        <f t="shared" si="1"/>
        <v>5.95</v>
      </c>
      <c r="G11" s="562">
        <f t="shared" si="2"/>
        <v>8.3941237183795467E-2</v>
      </c>
      <c r="H11" s="561">
        <v>3.0009999999999999</v>
      </c>
      <c r="I11" s="562">
        <f t="shared" si="5"/>
        <v>5.4301871722730044E-2</v>
      </c>
      <c r="J11" s="563">
        <v>1.0649999999999999</v>
      </c>
      <c r="K11" s="562">
        <f t="shared" si="5"/>
        <v>6.6282992904296706E-2</v>
      </c>
      <c r="L11" s="213">
        <f t="shared" si="3"/>
        <v>4.0659999999999998</v>
      </c>
      <c r="M11" s="564">
        <f t="shared" si="4"/>
        <v>5.7000585987332576E-2</v>
      </c>
      <c r="N11" s="565">
        <f t="shared" si="6"/>
        <v>68.336134453781511</v>
      </c>
    </row>
    <row r="12" spans="1:14" ht="14.1" customHeight="1" x14ac:dyDescent="0.2">
      <c r="A12" s="568" t="s">
        <v>41</v>
      </c>
      <c r="B12" s="569">
        <f t="shared" ref="B12:M12" si="7">SUM(B7:B11)</f>
        <v>965.47899999999993</v>
      </c>
      <c r="C12" s="570">
        <f>SUM(C7:C11)</f>
        <v>17.573951906210027</v>
      </c>
      <c r="D12" s="571">
        <f t="shared" si="7"/>
        <v>282.625</v>
      </c>
      <c r="E12" s="570">
        <f t="shared" si="7"/>
        <v>17.725158907107939</v>
      </c>
      <c r="F12" s="571">
        <f t="shared" si="7"/>
        <v>1248.104</v>
      </c>
      <c r="G12" s="570">
        <f>SUM(G7:G11)</f>
        <v>17.607965360343503</v>
      </c>
      <c r="H12" s="569">
        <f t="shared" si="7"/>
        <v>973.07500000000005</v>
      </c>
      <c r="I12" s="570">
        <f>SUM(I7:I11)</f>
        <v>17.6073954770395</v>
      </c>
      <c r="J12" s="571">
        <f t="shared" si="7"/>
        <v>291.38599999999997</v>
      </c>
      <c r="K12" s="570">
        <f t="shared" si="7"/>
        <v>18.13515133371962</v>
      </c>
      <c r="L12" s="571">
        <f t="shared" si="7"/>
        <v>1264.461</v>
      </c>
      <c r="M12" s="572">
        <f t="shared" si="7"/>
        <v>17.726271017739435</v>
      </c>
      <c r="N12" s="573">
        <f t="shared" si="6"/>
        <v>101.31054783896214</v>
      </c>
    </row>
    <row r="13" spans="1:14" ht="14.1" customHeight="1" x14ac:dyDescent="0.2">
      <c r="A13" s="555" t="s">
        <v>61</v>
      </c>
      <c r="B13" s="574"/>
      <c r="C13" s="562"/>
      <c r="D13" s="575"/>
      <c r="E13" s="562"/>
      <c r="F13" s="213"/>
      <c r="G13" s="562"/>
      <c r="H13" s="574"/>
      <c r="I13" s="562"/>
      <c r="J13" s="575"/>
      <c r="K13" s="562"/>
      <c r="L13" s="213"/>
      <c r="M13" s="564"/>
      <c r="N13" s="565">
        <f t="shared" si="6"/>
        <v>0</v>
      </c>
    </row>
    <row r="14" spans="1:14" ht="14.1" customHeight="1" x14ac:dyDescent="0.2">
      <c r="A14" s="206" t="s">
        <v>422</v>
      </c>
      <c r="B14" s="561">
        <v>676.10400000000004</v>
      </c>
      <c r="C14" s="562">
        <f>IF(B$20&gt;0,B14*100/B$20,0)</f>
        <v>12.306657296115427</v>
      </c>
      <c r="D14" s="563">
        <v>74.456000000000003</v>
      </c>
      <c r="E14" s="562">
        <f>IF(D$20&gt;0,D14*100/D$20,0)</f>
        <v>4.669595512030531</v>
      </c>
      <c r="F14" s="213">
        <f t="shared" ref="F14:F18" si="8">B14+D14</f>
        <v>750.56000000000006</v>
      </c>
      <c r="G14" s="562">
        <f>IF(F$20&gt;0,F14*100/F$20,0)</f>
        <v>10.588728568179754</v>
      </c>
      <c r="H14" s="561">
        <v>680.71299999999997</v>
      </c>
      <c r="I14" s="562">
        <f>IF(H$20&gt;0,H14*100/H$20,0)</f>
        <v>12.317224260578055</v>
      </c>
      <c r="J14" s="563">
        <v>75.686999999999998</v>
      </c>
      <c r="K14" s="562">
        <f>IF(J$20&gt;0,J14*100/J$20,0)</f>
        <v>4.7105735999507079</v>
      </c>
      <c r="L14" s="213">
        <f t="shared" ref="L14:L18" si="9">H14+J14</f>
        <v>756.4</v>
      </c>
      <c r="M14" s="564">
        <f>IF(L$20&gt;0,L14*100/L$20,0)</f>
        <v>10.603847329271609</v>
      </c>
      <c r="N14" s="565">
        <f t="shared" si="6"/>
        <v>100.77808569601363</v>
      </c>
    </row>
    <row r="15" spans="1:14" ht="14.1" customHeight="1" x14ac:dyDescent="0.2">
      <c r="A15" s="206" t="s">
        <v>423</v>
      </c>
      <c r="B15" s="561">
        <v>1459.41</v>
      </c>
      <c r="C15" s="562">
        <f t="shared" ref="C15:E18" si="10">IF(B$20&gt;0,B15*100/B$20,0)</f>
        <v>26.564639056304667</v>
      </c>
      <c r="D15" s="563">
        <v>533.04200000000003</v>
      </c>
      <c r="E15" s="562">
        <f t="shared" si="10"/>
        <v>33.430355255772248</v>
      </c>
      <c r="F15" s="213">
        <f t="shared" si="8"/>
        <v>1992.4520000000002</v>
      </c>
      <c r="G15" s="562">
        <f t="shared" ref="G15:G18" si="11">IF(F$20&gt;0,F15*100/F$20,0)</f>
        <v>28.109056455349187</v>
      </c>
      <c r="H15" s="561">
        <v>1444.6669999999999</v>
      </c>
      <c r="I15" s="562">
        <f t="shared" ref="I15:I18" si="12">IF(H$20&gt;0,H15*100/H$20,0)</f>
        <v>26.140660485192015</v>
      </c>
      <c r="J15" s="563">
        <v>532.72199999999998</v>
      </c>
      <c r="K15" s="562">
        <f t="shared" ref="K15:K18" si="13">IF(J$20&gt;0,J15*100/J$20,0)</f>
        <v>33.155313188697413</v>
      </c>
      <c r="L15" s="213">
        <f t="shared" si="9"/>
        <v>1977.3889999999999</v>
      </c>
      <c r="M15" s="564">
        <f t="shared" ref="M15:M18" si="14">IF(L$20&gt;0,L15*100/L$20,0)</f>
        <v>27.720691521127787</v>
      </c>
      <c r="N15" s="565">
        <f t="shared" si="6"/>
        <v>99.24399684408958</v>
      </c>
    </row>
    <row r="16" spans="1:14" ht="14.1" customHeight="1" x14ac:dyDescent="0.2">
      <c r="A16" s="206" t="s">
        <v>424</v>
      </c>
      <c r="B16" s="561">
        <v>0</v>
      </c>
      <c r="C16" s="562">
        <f t="shared" si="10"/>
        <v>0</v>
      </c>
      <c r="D16" s="563">
        <v>5.3849999999999998</v>
      </c>
      <c r="E16" s="562">
        <f t="shared" si="10"/>
        <v>0.33772660137912869</v>
      </c>
      <c r="F16" s="213">
        <f t="shared" si="8"/>
        <v>5.3849999999999998</v>
      </c>
      <c r="G16" s="562">
        <f t="shared" si="11"/>
        <v>7.5970346594073715E-2</v>
      </c>
      <c r="H16" s="561">
        <v>0</v>
      </c>
      <c r="I16" s="562">
        <f t="shared" si="12"/>
        <v>0</v>
      </c>
      <c r="J16" s="563">
        <v>4.5369999999999999</v>
      </c>
      <c r="K16" s="562">
        <f t="shared" si="13"/>
        <v>0.2823717735275062</v>
      </c>
      <c r="L16" s="213">
        <f t="shared" si="9"/>
        <v>4.5369999999999999</v>
      </c>
      <c r="M16" s="564">
        <f t="shared" si="14"/>
        <v>6.360345760563893E-2</v>
      </c>
      <c r="N16" s="565">
        <f t="shared" si="6"/>
        <v>84.252553389043641</v>
      </c>
    </row>
    <row r="17" spans="1:14" ht="14.1" customHeight="1" x14ac:dyDescent="0.2">
      <c r="A17" s="206" t="s">
        <v>421</v>
      </c>
      <c r="B17" s="561">
        <v>2324.8530000000001</v>
      </c>
      <c r="C17" s="562">
        <f t="shared" si="10"/>
        <v>42.317704280474359</v>
      </c>
      <c r="D17" s="563">
        <v>695.69899999999996</v>
      </c>
      <c r="E17" s="562">
        <f t="shared" si="10"/>
        <v>43.631580102666376</v>
      </c>
      <c r="F17" s="213">
        <f t="shared" si="8"/>
        <v>3020.5520000000001</v>
      </c>
      <c r="G17" s="562">
        <f t="shared" si="11"/>
        <v>42.61325577445173</v>
      </c>
      <c r="H17" s="561">
        <v>2360.2170000000001</v>
      </c>
      <c r="I17" s="562">
        <f t="shared" si="12"/>
        <v>42.707164535756995</v>
      </c>
      <c r="J17" s="563">
        <v>699.60299999999995</v>
      </c>
      <c r="K17" s="562">
        <f t="shared" si="13"/>
        <v>43.541578107816598</v>
      </c>
      <c r="L17" s="213">
        <f t="shared" si="9"/>
        <v>3059.82</v>
      </c>
      <c r="M17" s="564">
        <f t="shared" si="14"/>
        <v>42.895113875002451</v>
      </c>
      <c r="N17" s="565">
        <f t="shared" si="6"/>
        <v>101.30002727978197</v>
      </c>
    </row>
    <row r="18" spans="1:14" ht="14.1" customHeight="1" x14ac:dyDescent="0.2">
      <c r="A18" s="206" t="s">
        <v>241</v>
      </c>
      <c r="B18" s="561">
        <v>67.960999999999999</v>
      </c>
      <c r="C18" s="562">
        <f t="shared" si="10"/>
        <v>1.2370474608955135</v>
      </c>
      <c r="D18" s="563">
        <v>3.278</v>
      </c>
      <c r="E18" s="562">
        <f t="shared" si="10"/>
        <v>0.20558362104378533</v>
      </c>
      <c r="F18" s="213">
        <f t="shared" si="8"/>
        <v>71.239000000000004</v>
      </c>
      <c r="G18" s="562">
        <f t="shared" si="11"/>
        <v>1.0050234950817489</v>
      </c>
      <c r="H18" s="561">
        <v>67.840999999999994</v>
      </c>
      <c r="I18" s="562">
        <f t="shared" si="12"/>
        <v>1.2275552414334319</v>
      </c>
      <c r="J18" s="563">
        <v>2.8119999999999998</v>
      </c>
      <c r="K18" s="562">
        <f t="shared" si="13"/>
        <v>0.17501199628815239</v>
      </c>
      <c r="L18" s="213">
        <f t="shared" si="9"/>
        <v>70.652999999999992</v>
      </c>
      <c r="M18" s="564">
        <f t="shared" si="14"/>
        <v>0.9904727992530763</v>
      </c>
      <c r="N18" s="565">
        <f t="shared" si="6"/>
        <v>99.177416864357994</v>
      </c>
    </row>
    <row r="19" spans="1:14" ht="14.1" customHeight="1" x14ac:dyDescent="0.2">
      <c r="A19" s="568" t="s">
        <v>41</v>
      </c>
      <c r="B19" s="569">
        <f>SUM(B14:B18)</f>
        <v>4528.3280000000004</v>
      </c>
      <c r="C19" s="570">
        <f>SUM(C14:C18)</f>
        <v>82.426048093789959</v>
      </c>
      <c r="D19" s="571">
        <f>SUM(D14:D18)</f>
        <v>1311.86</v>
      </c>
      <c r="E19" s="570">
        <f>SUM(E14:E18)</f>
        <v>82.274841092892075</v>
      </c>
      <c r="F19" s="571">
        <f t="shared" ref="F19:L19" si="15">SUM(F14:F18)</f>
        <v>5840.1880000000001</v>
      </c>
      <c r="G19" s="570">
        <f>SUM(G14:G18)</f>
        <v>82.392034639656487</v>
      </c>
      <c r="H19" s="569">
        <f t="shared" si="15"/>
        <v>4553.4380000000001</v>
      </c>
      <c r="I19" s="570">
        <f t="shared" si="15"/>
        <v>82.392604522960511</v>
      </c>
      <c r="J19" s="571">
        <f t="shared" si="15"/>
        <v>1315.3609999999999</v>
      </c>
      <c r="K19" s="570">
        <f>SUM(K14:K18)</f>
        <v>81.864848666280366</v>
      </c>
      <c r="L19" s="571">
        <f t="shared" si="15"/>
        <v>5868.799</v>
      </c>
      <c r="M19" s="572">
        <f>SUM(M14:M18)</f>
        <v>82.27372898226055</v>
      </c>
      <c r="N19" s="573">
        <f t="shared" si="6"/>
        <v>100.48989861285287</v>
      </c>
    </row>
    <row r="20" spans="1:14" s="200" customFormat="1" ht="14.1" customHeight="1" thickBot="1" x14ac:dyDescent="0.25">
      <c r="A20" s="576" t="s">
        <v>135</v>
      </c>
      <c r="B20" s="577">
        <f>B19+B12</f>
        <v>5493.8070000000007</v>
      </c>
      <c r="C20" s="578">
        <f>C19+C12</f>
        <v>99.999999999999986</v>
      </c>
      <c r="D20" s="579">
        <f>D19+D12</f>
        <v>1594.4849999999999</v>
      </c>
      <c r="E20" s="578">
        <f>E19+E12</f>
        <v>100.00000000000001</v>
      </c>
      <c r="F20" s="579">
        <f t="shared" ref="F20:L20" si="16">F19+F12</f>
        <v>7088.2920000000004</v>
      </c>
      <c r="G20" s="578">
        <f>G19+G12</f>
        <v>99.999999999999986</v>
      </c>
      <c r="H20" s="577">
        <f t="shared" si="16"/>
        <v>5526.5129999999999</v>
      </c>
      <c r="I20" s="578">
        <f t="shared" si="16"/>
        <v>100.00000000000001</v>
      </c>
      <c r="J20" s="579">
        <f t="shared" si="16"/>
        <v>1606.7469999999998</v>
      </c>
      <c r="K20" s="578">
        <f t="shared" si="16"/>
        <v>99.999999999999986</v>
      </c>
      <c r="L20" s="579">
        <f t="shared" si="16"/>
        <v>7133.26</v>
      </c>
      <c r="M20" s="580">
        <f>M19+M12</f>
        <v>99.999999999999986</v>
      </c>
      <c r="N20" s="581">
        <f t="shared" si="6"/>
        <v>100.63439824431612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40" customWidth="1"/>
    <col min="2" max="2" width="8.5703125" style="40" bestFit="1" customWidth="1"/>
    <col min="3" max="3" width="5" style="40" customWidth="1"/>
    <col min="4" max="4" width="6.5703125" style="40" customWidth="1"/>
    <col min="5" max="5" width="5" style="40" customWidth="1"/>
    <col min="6" max="6" width="8.5703125" style="40" bestFit="1" customWidth="1"/>
    <col min="7" max="7" width="5.5703125" style="40" customWidth="1"/>
    <col min="8" max="8" width="8.5703125" style="40" bestFit="1" customWidth="1"/>
    <col min="9" max="9" width="5" style="40" customWidth="1"/>
    <col min="10" max="10" width="7.42578125" style="40" bestFit="1" customWidth="1"/>
    <col min="11" max="11" width="5.5703125" style="40" customWidth="1"/>
    <col min="12" max="12" width="8.5703125" style="40" bestFit="1" customWidth="1"/>
    <col min="13" max="13" width="5.5703125" style="40" customWidth="1"/>
    <col min="14" max="14" width="6.85546875" style="40" customWidth="1"/>
    <col min="15" max="16384" width="8.7109375" style="40"/>
  </cols>
  <sheetData>
    <row r="1" spans="1:14" hidden="1" x14ac:dyDescent="0.2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40"/>
    </row>
    <row r="2" spans="1:14" x14ac:dyDescent="0.2">
      <c r="A2" s="237"/>
      <c r="B2" s="238"/>
      <c r="C2" s="238"/>
      <c r="D2" s="238"/>
      <c r="E2" s="238"/>
      <c r="F2" s="238"/>
      <c r="G2" s="238"/>
      <c r="H2" s="238"/>
      <c r="I2" s="238"/>
      <c r="J2" s="238"/>
    </row>
    <row r="3" spans="1:14" x14ac:dyDescent="0.2">
      <c r="A3" s="149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443" t="s">
        <v>399</v>
      </c>
    </row>
    <row r="4" spans="1:14" x14ac:dyDescent="0.2">
      <c r="A4" s="804" t="s">
        <v>12</v>
      </c>
      <c r="B4" s="806" t="s">
        <v>530</v>
      </c>
      <c r="C4" s="807"/>
      <c r="D4" s="807"/>
      <c r="E4" s="807"/>
      <c r="F4" s="807"/>
      <c r="G4" s="808"/>
      <c r="H4" s="806" t="s">
        <v>531</v>
      </c>
      <c r="I4" s="807"/>
      <c r="J4" s="807"/>
      <c r="K4" s="807"/>
      <c r="L4" s="807"/>
      <c r="M4" s="808"/>
      <c r="N4" s="809" t="s">
        <v>11</v>
      </c>
    </row>
    <row r="5" spans="1:14" ht="36" x14ac:dyDescent="0.2">
      <c r="A5" s="805"/>
      <c r="B5" s="243" t="s">
        <v>45</v>
      </c>
      <c r="C5" s="232" t="s">
        <v>3</v>
      </c>
      <c r="D5" s="232" t="s">
        <v>136</v>
      </c>
      <c r="E5" s="232" t="s">
        <v>3</v>
      </c>
      <c r="F5" s="232" t="s">
        <v>41</v>
      </c>
      <c r="G5" s="244" t="s">
        <v>3</v>
      </c>
      <c r="H5" s="243" t="s">
        <v>45</v>
      </c>
      <c r="I5" s="232" t="s">
        <v>3</v>
      </c>
      <c r="J5" s="232" t="s">
        <v>136</v>
      </c>
      <c r="K5" s="232" t="s">
        <v>3</v>
      </c>
      <c r="L5" s="232" t="s">
        <v>41</v>
      </c>
      <c r="M5" s="244" t="s">
        <v>3</v>
      </c>
      <c r="N5" s="810"/>
    </row>
    <row r="6" spans="1:14" ht="24" x14ac:dyDescent="0.2">
      <c r="A6" s="230" t="s">
        <v>62</v>
      </c>
      <c r="B6" s="590"/>
      <c r="C6" s="591"/>
      <c r="D6" s="592"/>
      <c r="E6" s="591"/>
      <c r="F6" s="592"/>
      <c r="G6" s="593"/>
      <c r="H6" s="590"/>
      <c r="I6" s="591"/>
      <c r="J6" s="592"/>
      <c r="K6" s="591"/>
      <c r="L6" s="592"/>
      <c r="M6" s="593"/>
      <c r="N6" s="591"/>
    </row>
    <row r="7" spans="1:14" ht="14.1" customHeight="1" x14ac:dyDescent="0.2">
      <c r="A7" s="239" t="s">
        <v>425</v>
      </c>
      <c r="B7" s="594">
        <v>197.755</v>
      </c>
      <c r="C7" s="592">
        <f>IF(B$16&gt;0,B7*100/B$16,0)</f>
        <v>7.6864983025997775</v>
      </c>
      <c r="D7" s="595">
        <v>36.488999999999997</v>
      </c>
      <c r="E7" s="592">
        <f>IF(D$16&gt;0,D7*100/D$16,0)</f>
        <v>4.9755985813223811</v>
      </c>
      <c r="F7" s="592">
        <f>B7+D7</f>
        <v>234.244</v>
      </c>
      <c r="G7" s="596">
        <f>IF(F$16&gt;0,F7*100/F$16,0)</f>
        <v>7.0851697021006821</v>
      </c>
      <c r="H7" s="594">
        <v>197.28800000000001</v>
      </c>
      <c r="I7" s="592">
        <f>IF(H$16&gt;0,H7*100/H$16,0)</f>
        <v>7.5634855796232756</v>
      </c>
      <c r="J7" s="595">
        <v>35.994999999999997</v>
      </c>
      <c r="K7" s="592">
        <f>IF(J$16&gt;0,J7*100/J$16,0)</f>
        <v>4.8857061029588404</v>
      </c>
      <c r="L7" s="592">
        <f>H7+J7</f>
        <v>233.28300000000002</v>
      </c>
      <c r="M7" s="596">
        <f>IF(L$16&gt;0,L7*100/L$16,0)</f>
        <v>6.9737304673487257</v>
      </c>
      <c r="N7" s="597">
        <f>IF(F7&lt;&gt;0,L7*100/F7,"-")</f>
        <v>99.589744027595174</v>
      </c>
    </row>
    <row r="8" spans="1:14" ht="14.1" customHeight="1" x14ac:dyDescent="0.2">
      <c r="A8" s="239" t="s">
        <v>426</v>
      </c>
      <c r="B8" s="594">
        <v>18.492999999999999</v>
      </c>
      <c r="C8" s="592">
        <f t="shared" ref="C8:C9" si="0">IF(B$16&gt;0,B8*100/B$16,0)</f>
        <v>0.71880060231082743</v>
      </c>
      <c r="D8" s="595">
        <v>3.3000000000000002E-2</v>
      </c>
      <c r="E8" s="592">
        <f>IF(D$16&gt;0,D8*100/D$16,0)</f>
        <v>4.4998425055123078E-3</v>
      </c>
      <c r="F8" s="592">
        <f t="shared" ref="F8:F9" si="1">B8+D8</f>
        <v>18.526</v>
      </c>
      <c r="G8" s="596">
        <f>IF(F$16&gt;0,F8*100/F$16,0)</f>
        <v>0.56035524453611285</v>
      </c>
      <c r="H8" s="594">
        <v>18.306000000000001</v>
      </c>
      <c r="I8" s="592">
        <f t="shared" ref="I8" si="2">IF(H$16&gt;0,H8*100/H$16,0)</f>
        <v>0.70180227393751105</v>
      </c>
      <c r="J8" s="595">
        <v>2.5000000000000001E-2</v>
      </c>
      <c r="K8" s="592">
        <f t="shared" ref="K8" si="3">IF(J$16&gt;0,J8*100/J$16,0)</f>
        <v>3.3933227552151975E-3</v>
      </c>
      <c r="L8" s="592">
        <f t="shared" ref="L8:L9" si="4">H8+J8</f>
        <v>18.331</v>
      </c>
      <c r="M8" s="596">
        <f t="shared" ref="M8:M9" si="5">IF(L$16&gt;0,L8*100/L$16,0)</f>
        <v>0.54798443605821889</v>
      </c>
      <c r="N8" s="597">
        <f>IF(F8&lt;&gt;0,L8*100/F8,"-")</f>
        <v>98.947425240202961</v>
      </c>
    </row>
    <row r="9" spans="1:14" ht="14.1" customHeight="1" x14ac:dyDescent="0.2">
      <c r="A9" s="229" t="s">
        <v>515</v>
      </c>
      <c r="B9" s="594">
        <v>31.657</v>
      </c>
      <c r="C9" s="592">
        <f t="shared" si="0"/>
        <v>1.2304694028742693</v>
      </c>
      <c r="D9" s="595">
        <v>1.1379999999999999</v>
      </c>
      <c r="E9" s="592">
        <f>IF(D$16&gt;0,D9*100/D$16,0)</f>
        <v>0.15517638700827288</v>
      </c>
      <c r="F9" s="592">
        <f t="shared" si="1"/>
        <v>32.795000000000002</v>
      </c>
      <c r="G9" s="596">
        <f>IF(F$16&gt;0,F9*100/F$16,0)</f>
        <v>0.9919491657433781</v>
      </c>
      <c r="H9" s="594">
        <v>32.616</v>
      </c>
      <c r="I9" s="592">
        <f t="shared" ref="I9" si="6">IF(H$16&gt;0,H9*100/H$16,0)</f>
        <v>1.2504087712632939</v>
      </c>
      <c r="J9" s="595">
        <v>1.1180000000000001</v>
      </c>
      <c r="K9" s="592">
        <f t="shared" ref="K9" si="7">IF(J$16&gt;0,J9*100/J$16,0)</f>
        <v>0.15174939361322365</v>
      </c>
      <c r="L9" s="592">
        <f t="shared" si="4"/>
        <v>33.734000000000002</v>
      </c>
      <c r="M9" s="596">
        <f t="shared" si="5"/>
        <v>1.0084396359166417</v>
      </c>
      <c r="N9" s="591">
        <f>IF(F9&lt;&gt;0,L9*100/F9,"-")</f>
        <v>102.86324134776642</v>
      </c>
    </row>
    <row r="10" spans="1:14" ht="14.1" customHeight="1" x14ac:dyDescent="0.2">
      <c r="A10" s="465" t="s">
        <v>41</v>
      </c>
      <c r="B10" s="598">
        <f t="shared" ref="B10:M10" si="8">SUM(B7:B9)</f>
        <v>247.905</v>
      </c>
      <c r="C10" s="599">
        <f t="shared" si="8"/>
        <v>9.6357683077848755</v>
      </c>
      <c r="D10" s="599">
        <f t="shared" si="8"/>
        <v>37.659999999999997</v>
      </c>
      <c r="E10" s="599">
        <f t="shared" si="8"/>
        <v>5.1352748108361661</v>
      </c>
      <c r="F10" s="599">
        <f t="shared" si="8"/>
        <v>285.565</v>
      </c>
      <c r="G10" s="600">
        <f>SUM(G7:G9)</f>
        <v>8.6374741123801719</v>
      </c>
      <c r="H10" s="598">
        <f t="shared" si="8"/>
        <v>248.21000000000004</v>
      </c>
      <c r="I10" s="599">
        <f t="shared" si="8"/>
        <v>9.5156966248240806</v>
      </c>
      <c r="J10" s="599">
        <f t="shared" si="8"/>
        <v>37.137999999999998</v>
      </c>
      <c r="K10" s="599">
        <f t="shared" si="8"/>
        <v>5.0408488193272794</v>
      </c>
      <c r="L10" s="599">
        <f t="shared" si="8"/>
        <v>285.34800000000001</v>
      </c>
      <c r="M10" s="600">
        <f t="shared" si="8"/>
        <v>8.5301545393235862</v>
      </c>
      <c r="N10" s="601">
        <f>IF(F10&lt;&gt;0,L10*100/F10,"-")</f>
        <v>99.924010295379347</v>
      </c>
    </row>
    <row r="11" spans="1:14" ht="24" x14ac:dyDescent="0.2">
      <c r="A11" s="230" t="s">
        <v>63</v>
      </c>
      <c r="B11" s="602"/>
      <c r="C11" s="592"/>
      <c r="D11" s="603"/>
      <c r="E11" s="592"/>
      <c r="F11" s="592"/>
      <c r="G11" s="596"/>
      <c r="H11" s="602"/>
      <c r="I11" s="592"/>
      <c r="J11" s="603"/>
      <c r="K11" s="592"/>
      <c r="L11" s="592"/>
      <c r="M11" s="596"/>
      <c r="N11" s="591"/>
    </row>
    <row r="12" spans="1:14" ht="14.1" customHeight="1" x14ac:dyDescent="0.2">
      <c r="A12" s="239" t="s">
        <v>425</v>
      </c>
      <c r="B12" s="594">
        <v>1469.9259999999999</v>
      </c>
      <c r="C12" s="592">
        <f>IF(B$16&gt;0,B12*100/B$16,0)</f>
        <v>57.134250481390005</v>
      </c>
      <c r="D12" s="595">
        <v>579.60699999999997</v>
      </c>
      <c r="E12" s="592">
        <f>IF(D$16&gt;0,D12*100/D$16,0)</f>
        <v>79.034551972499145</v>
      </c>
      <c r="F12" s="592">
        <f t="shared" ref="F12:F14" si="9">B12+D12</f>
        <v>2049.5329999999999</v>
      </c>
      <c r="G12" s="596">
        <f>IF(F$16&gt;0,F12*100/F$16,0)</f>
        <v>61.992149703110925</v>
      </c>
      <c r="H12" s="594">
        <v>1487.7149999999999</v>
      </c>
      <c r="I12" s="592">
        <f>IF(H$16&gt;0,H12*100/H$16,0)</f>
        <v>57.034948649128381</v>
      </c>
      <c r="J12" s="595">
        <v>580.28300000000002</v>
      </c>
      <c r="K12" s="592">
        <f>IF(J$16&gt;0,J12*100/J$16,0)</f>
        <v>78.763500334581622</v>
      </c>
      <c r="L12" s="592">
        <f t="shared" ref="L12:L14" si="10">H12+J12</f>
        <v>2067.998</v>
      </c>
      <c r="M12" s="596">
        <f>IF(L$16&gt;0,L12*100/L$16,0)</f>
        <v>61.820452664858692</v>
      </c>
      <c r="N12" s="597">
        <f>IF(F12&lt;&gt;0,L12*100/F12,"-")</f>
        <v>100.900936945148</v>
      </c>
    </row>
    <row r="13" spans="1:14" ht="14.1" customHeight="1" x14ac:dyDescent="0.2">
      <c r="A13" s="239" t="s">
        <v>426</v>
      </c>
      <c r="B13" s="594">
        <v>701.76800000000003</v>
      </c>
      <c r="C13" s="592">
        <f t="shared" ref="C13:E14" si="11">IF(B$16&gt;0,B13*100/B$16,0)</f>
        <v>27.276875633075477</v>
      </c>
      <c r="D13" s="595">
        <v>106.499</v>
      </c>
      <c r="E13" s="592">
        <f t="shared" si="11"/>
        <v>14.522082636198643</v>
      </c>
      <c r="F13" s="592">
        <f t="shared" si="9"/>
        <v>808.26700000000005</v>
      </c>
      <c r="G13" s="596">
        <f>IF(F$16&gt;0,F13*100/F$16,0)</f>
        <v>24.447622392069007</v>
      </c>
      <c r="H13" s="594">
        <v>722.00900000000001</v>
      </c>
      <c r="I13" s="592">
        <f t="shared" ref="I13" si="12">IF(H$16&gt;0,H13*100/H$16,0)</f>
        <v>27.679862231145435</v>
      </c>
      <c r="J13" s="595">
        <v>109.40600000000001</v>
      </c>
      <c r="K13" s="592">
        <f t="shared" ref="K13" si="13">IF(J$16&gt;0,J13*100/J$16,0)</f>
        <v>14.849994774282955</v>
      </c>
      <c r="L13" s="592">
        <f t="shared" si="10"/>
        <v>831.41499999999996</v>
      </c>
      <c r="M13" s="596">
        <f t="shared" ref="M13:M14" si="14">IF(L$16&gt;0,L13*100/L$16,0)</f>
        <v>24.854207621261473</v>
      </c>
      <c r="N13" s="597">
        <f>IF(F13&lt;&gt;0,L13*100/F13,"-")</f>
        <v>102.86390512046142</v>
      </c>
    </row>
    <row r="14" spans="1:14" ht="14.1" customHeight="1" x14ac:dyDescent="0.2">
      <c r="A14" s="229" t="s">
        <v>515</v>
      </c>
      <c r="B14" s="594">
        <v>153.15899999999999</v>
      </c>
      <c r="C14" s="592">
        <f t="shared" si="11"/>
        <v>5.9531055777496364</v>
      </c>
      <c r="D14" s="595">
        <v>9.593</v>
      </c>
      <c r="E14" s="592">
        <f t="shared" si="11"/>
        <v>1.3080905804660474</v>
      </c>
      <c r="F14" s="592">
        <f t="shared" si="9"/>
        <v>162.75199999999998</v>
      </c>
      <c r="G14" s="596">
        <f>IF(F$16&gt;0,F14*100/F$16,0)</f>
        <v>4.9227537924398916</v>
      </c>
      <c r="H14" s="594">
        <v>150.49299999999999</v>
      </c>
      <c r="I14" s="592">
        <f t="shared" ref="I14" si="15">IF(H$16&gt;0,H14*100/H$16,0)</f>
        <v>5.7694924949020994</v>
      </c>
      <c r="J14" s="595">
        <v>9.9139999999999997</v>
      </c>
      <c r="K14" s="592">
        <f t="shared" ref="K14" si="16">IF(J$16&gt;0,J14*100/J$16,0)</f>
        <v>1.3456560718081385</v>
      </c>
      <c r="L14" s="592">
        <f t="shared" si="10"/>
        <v>160.40699999999998</v>
      </c>
      <c r="M14" s="596">
        <f t="shared" si="14"/>
        <v>4.7951851745562548</v>
      </c>
      <c r="N14" s="591">
        <f>IF(F14&lt;&gt;0,L14*100/F14,"-")</f>
        <v>98.559157491152192</v>
      </c>
    </row>
    <row r="15" spans="1:14" ht="14.1" customHeight="1" x14ac:dyDescent="0.2">
      <c r="A15" s="465" t="s">
        <v>41</v>
      </c>
      <c r="B15" s="598">
        <f>SUM(B12:B14)</f>
        <v>2324.8530000000001</v>
      </c>
      <c r="C15" s="599">
        <f t="shared" ref="C15:M15" si="17">SUM(C12:C14)</f>
        <v>90.364231692215114</v>
      </c>
      <c r="D15" s="599">
        <f>SUM(D12:D14)</f>
        <v>695.69899999999996</v>
      </c>
      <c r="E15" s="599">
        <f t="shared" si="17"/>
        <v>94.864725189163835</v>
      </c>
      <c r="F15" s="599">
        <f t="shared" si="17"/>
        <v>3020.5520000000001</v>
      </c>
      <c r="G15" s="600">
        <f>SUM(G12:G14)</f>
        <v>91.362525887619825</v>
      </c>
      <c r="H15" s="598">
        <f>SUM(H12:H14)</f>
        <v>2360.2170000000001</v>
      </c>
      <c r="I15" s="599">
        <f>SUM(I12:I14)</f>
        <v>90.484303375175912</v>
      </c>
      <c r="J15" s="599">
        <f>SUM(J12:J14)</f>
        <v>699.60300000000007</v>
      </c>
      <c r="K15" s="599">
        <f t="shared" si="17"/>
        <v>94.95915118067272</v>
      </c>
      <c r="L15" s="599">
        <f t="shared" si="17"/>
        <v>3059.82</v>
      </c>
      <c r="M15" s="600">
        <f t="shared" si="17"/>
        <v>91.469845460676424</v>
      </c>
      <c r="N15" s="601">
        <f>IF(F15&lt;&gt;0,L15*100/F15,"-")</f>
        <v>101.30002727978197</v>
      </c>
    </row>
    <row r="16" spans="1:14" s="200" customFormat="1" ht="14.1" customHeight="1" thickBot="1" x14ac:dyDescent="0.25">
      <c r="A16" s="464" t="s">
        <v>44</v>
      </c>
      <c r="B16" s="604">
        <f>B15+B10</f>
        <v>2572.7580000000003</v>
      </c>
      <c r="C16" s="605">
        <f t="shared" ref="C16:M16" si="18">C15+C10</f>
        <v>99.999999999999986</v>
      </c>
      <c r="D16" s="606">
        <f>D15+D10</f>
        <v>733.35899999999992</v>
      </c>
      <c r="E16" s="605">
        <f t="shared" si="18"/>
        <v>100</v>
      </c>
      <c r="F16" s="606">
        <f t="shared" si="18"/>
        <v>3306.1170000000002</v>
      </c>
      <c r="G16" s="607">
        <f>G15+G10</f>
        <v>100</v>
      </c>
      <c r="H16" s="604">
        <f t="shared" si="18"/>
        <v>2608.4270000000001</v>
      </c>
      <c r="I16" s="605">
        <f t="shared" si="18"/>
        <v>100</v>
      </c>
      <c r="J16" s="606">
        <f t="shared" si="18"/>
        <v>736.7410000000001</v>
      </c>
      <c r="K16" s="605">
        <f t="shared" si="18"/>
        <v>100</v>
      </c>
      <c r="L16" s="606">
        <f t="shared" si="18"/>
        <v>3345.1680000000001</v>
      </c>
      <c r="M16" s="607">
        <f t="shared" si="18"/>
        <v>100.00000000000001</v>
      </c>
      <c r="N16" s="608">
        <f>IF(F16&lt;&gt;0,L16*100/F16,"-")</f>
        <v>101.18117416897223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14062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233"/>
      <c r="B1" s="199"/>
      <c r="C1" s="199"/>
      <c r="D1" s="199"/>
      <c r="E1" s="199"/>
      <c r="F1" s="199"/>
      <c r="G1" s="199"/>
      <c r="H1" s="199"/>
      <c r="I1" s="199"/>
      <c r="J1" s="223"/>
      <c r="K1" s="223"/>
      <c r="L1" s="223"/>
      <c r="M1" s="223"/>
      <c r="N1" s="223"/>
    </row>
    <row r="2" spans="1:14" x14ac:dyDescent="0.2">
      <c r="A2" s="234"/>
      <c r="B2" s="235"/>
      <c r="C2" s="235"/>
      <c r="D2" s="235"/>
      <c r="E2" s="235"/>
      <c r="F2" s="235"/>
      <c r="G2" s="235"/>
      <c r="H2" s="235"/>
      <c r="I2" s="235"/>
    </row>
    <row r="3" spans="1:14" x14ac:dyDescent="0.2">
      <c r="A3" s="149" t="s">
        <v>387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443" t="s">
        <v>399</v>
      </c>
    </row>
    <row r="4" spans="1:14" x14ac:dyDescent="0.2">
      <c r="A4" s="767" t="s">
        <v>12</v>
      </c>
      <c r="B4" s="812" t="s">
        <v>530</v>
      </c>
      <c r="C4" s="813"/>
      <c r="D4" s="813"/>
      <c r="E4" s="813"/>
      <c r="F4" s="813"/>
      <c r="G4" s="814"/>
      <c r="H4" s="812" t="s">
        <v>531</v>
      </c>
      <c r="I4" s="813"/>
      <c r="J4" s="813"/>
      <c r="K4" s="813"/>
      <c r="L4" s="813"/>
      <c r="M4" s="814"/>
      <c r="N4" s="809" t="s">
        <v>11</v>
      </c>
    </row>
    <row r="5" spans="1:14" ht="27.95" customHeight="1" x14ac:dyDescent="0.2">
      <c r="A5" s="811"/>
      <c r="B5" s="243" t="s">
        <v>45</v>
      </c>
      <c r="C5" s="232" t="s">
        <v>3</v>
      </c>
      <c r="D5" s="232" t="s">
        <v>136</v>
      </c>
      <c r="E5" s="232" t="s">
        <v>3</v>
      </c>
      <c r="F5" s="232" t="s">
        <v>41</v>
      </c>
      <c r="G5" s="244" t="s">
        <v>3</v>
      </c>
      <c r="H5" s="243" t="s">
        <v>45</v>
      </c>
      <c r="I5" s="232" t="s">
        <v>3</v>
      </c>
      <c r="J5" s="232" t="s">
        <v>136</v>
      </c>
      <c r="K5" s="232" t="s">
        <v>3</v>
      </c>
      <c r="L5" s="232" t="s">
        <v>41</v>
      </c>
      <c r="M5" s="468" t="s">
        <v>3</v>
      </c>
      <c r="N5" s="810"/>
    </row>
    <row r="6" spans="1:14" ht="14.1" customHeight="1" x14ac:dyDescent="0.2">
      <c r="A6" s="9" t="s">
        <v>510</v>
      </c>
      <c r="B6" s="446"/>
      <c r="C6" s="6"/>
      <c r="D6" s="10"/>
      <c r="E6" s="6"/>
      <c r="F6" s="10"/>
      <c r="G6" s="245"/>
      <c r="H6" s="446"/>
      <c r="I6" s="6"/>
      <c r="J6" s="10"/>
      <c r="K6" s="6"/>
      <c r="L6" s="10"/>
      <c r="M6" s="245"/>
      <c r="N6" s="6"/>
    </row>
    <row r="7" spans="1:14" ht="14.1" customHeight="1" x14ac:dyDescent="0.2">
      <c r="A7" s="85" t="s">
        <v>427</v>
      </c>
      <c r="B7" s="448">
        <v>18.948</v>
      </c>
      <c r="C7" s="10">
        <f>IF(B$15&gt;0,B7*100/B$15,0)</f>
        <v>1.1361885156693636</v>
      </c>
      <c r="D7" s="447">
        <v>12.412000000000001</v>
      </c>
      <c r="E7" s="10">
        <f>IF(D$15&gt;0,D7*100/D$15,0)</f>
        <v>2.0146210980106996</v>
      </c>
      <c r="F7" s="10">
        <f>B7+D7</f>
        <v>31.36</v>
      </c>
      <c r="G7" s="228">
        <f>IF(F$15&gt;0,F7*100/F$15,0)</f>
        <v>1.3731638421789869</v>
      </c>
      <c r="H7" s="448">
        <v>18.492000000000001</v>
      </c>
      <c r="I7" s="10">
        <f>IF(H$15&gt;0,H7*100/H$15,0)</f>
        <v>1.0974461173066159</v>
      </c>
      <c r="J7" s="447">
        <v>12.446999999999999</v>
      </c>
      <c r="K7" s="10">
        <f>IF(J$15&gt;0,J7*100/J$15,0)</f>
        <v>2.019705392696153</v>
      </c>
      <c r="L7" s="10">
        <f>H7+J7</f>
        <v>30.939</v>
      </c>
      <c r="M7" s="228">
        <f>IF(L$15&gt;0,L7*100/L$15,0)</f>
        <v>1.3444251267011722</v>
      </c>
      <c r="N7" s="126">
        <f>IF(F7&lt;&gt;0,L7*100/F7,"-")</f>
        <v>98.657525510204081</v>
      </c>
    </row>
    <row r="8" spans="1:14" ht="14.1" customHeight="1" x14ac:dyDescent="0.2">
      <c r="A8" s="85" t="s">
        <v>428</v>
      </c>
      <c r="B8" s="448">
        <v>3.0990000000000002</v>
      </c>
      <c r="C8" s="10">
        <f t="shared" ref="C8:E12" si="0">IF(B$15&gt;0,B8*100/B$15,0)</f>
        <v>0.18582690574516353</v>
      </c>
      <c r="D8" s="447">
        <v>0.81599999999999995</v>
      </c>
      <c r="E8" s="10">
        <f t="shared" si="0"/>
        <v>0.13244689139354904</v>
      </c>
      <c r="F8" s="10">
        <f t="shared" ref="F8:F11" si="1">B8+D8</f>
        <v>3.915</v>
      </c>
      <c r="G8" s="228">
        <f t="shared" ref="G8:G14" si="2">IF(F$15&gt;0,F8*100/F$15,0)</f>
        <v>0.17142654471080143</v>
      </c>
      <c r="H8" s="448">
        <v>3.0030000000000001</v>
      </c>
      <c r="I8" s="10">
        <f>IF(H$15&gt;0,H8*100/H$15,0)</f>
        <v>0.17821926726539952</v>
      </c>
      <c r="J8" s="447">
        <v>0.73099999999999998</v>
      </c>
      <c r="K8" s="10">
        <f>IF(J$15&gt;0,J8*100/J$15,0)</f>
        <v>0.11861530023787964</v>
      </c>
      <c r="L8" s="10">
        <f t="shared" ref="L8:L11" si="3">H8+J8</f>
        <v>3.734</v>
      </c>
      <c r="M8" s="228">
        <f t="shared" ref="M8:M14" si="4">IF(L$15&gt;0,L8*100/L$15,0)</f>
        <v>0.162257455738782</v>
      </c>
      <c r="N8" s="126">
        <f t="shared" ref="N8:N15" si="5">IF(F8&lt;&gt;0,L8*100/F8,"-")</f>
        <v>95.376756066411232</v>
      </c>
    </row>
    <row r="9" spans="1:14" ht="14.1" customHeight="1" x14ac:dyDescent="0.2">
      <c r="A9" s="85" t="s">
        <v>429</v>
      </c>
      <c r="B9" s="448">
        <v>35.533000000000001</v>
      </c>
      <c r="C9" s="10">
        <f t="shared" si="0"/>
        <v>2.1306832661642128</v>
      </c>
      <c r="D9" s="447">
        <v>17.061</v>
      </c>
      <c r="E9" s="10">
        <f t="shared" si="0"/>
        <v>2.7692112917467404</v>
      </c>
      <c r="F9" s="10">
        <f t="shared" si="1"/>
        <v>52.594000000000001</v>
      </c>
      <c r="G9" s="228">
        <f t="shared" si="2"/>
        <v>2.3029393850625524</v>
      </c>
      <c r="H9" s="448">
        <v>34.363</v>
      </c>
      <c r="I9" s="10">
        <f t="shared" ref="I9:K9" si="6">IF(H$15&gt;0,H9*100/H$15,0)</f>
        <v>2.0393435501301775</v>
      </c>
      <c r="J9" s="447">
        <v>16.082000000000001</v>
      </c>
      <c r="K9" s="10">
        <f t="shared" si="6"/>
        <v>2.6095366052333526</v>
      </c>
      <c r="L9" s="10">
        <f t="shared" si="3"/>
        <v>50.445</v>
      </c>
      <c r="M9" s="228">
        <f t="shared" si="4"/>
        <v>2.1920399985920884</v>
      </c>
      <c r="N9" s="126">
        <f t="shared" si="5"/>
        <v>95.91398258356466</v>
      </c>
    </row>
    <row r="10" spans="1:14" ht="14.1" customHeight="1" x14ac:dyDescent="0.2">
      <c r="A10" s="85" t="s">
        <v>430</v>
      </c>
      <c r="B10" s="446">
        <v>67.739999999999995</v>
      </c>
      <c r="C10" s="10">
        <f t="shared" si="0"/>
        <v>4.061927910673564</v>
      </c>
      <c r="D10" s="10">
        <v>23.141999999999999</v>
      </c>
      <c r="E10" s="10">
        <f t="shared" si="0"/>
        <v>3.7562327948891077</v>
      </c>
      <c r="F10" s="231">
        <f t="shared" si="1"/>
        <v>90.881999999999991</v>
      </c>
      <c r="G10" s="228">
        <f t="shared" si="2"/>
        <v>3.9794603413555696</v>
      </c>
      <c r="H10" s="446">
        <v>68.56</v>
      </c>
      <c r="I10" s="10">
        <f t="shared" ref="I10:K10" si="7">IF(H$15&gt;0,H10*100/H$15,0)</f>
        <v>4.0688354857528441</v>
      </c>
      <c r="J10" s="10">
        <v>23.448</v>
      </c>
      <c r="K10" s="10">
        <f t="shared" si="7"/>
        <v>3.8047764158383068</v>
      </c>
      <c r="L10" s="231">
        <f t="shared" si="3"/>
        <v>92.00800000000001</v>
      </c>
      <c r="M10" s="228">
        <f t="shared" si="4"/>
        <v>3.9981210464954091</v>
      </c>
      <c r="N10" s="126">
        <f t="shared" si="5"/>
        <v>101.23896921282544</v>
      </c>
    </row>
    <row r="11" spans="1:14" ht="14.1" customHeight="1" x14ac:dyDescent="0.2">
      <c r="A11" s="85" t="s">
        <v>431</v>
      </c>
      <c r="B11" s="448">
        <v>0</v>
      </c>
      <c r="C11" s="10">
        <f t="shared" si="0"/>
        <v>0</v>
      </c>
      <c r="D11" s="447">
        <v>0</v>
      </c>
      <c r="E11" s="10">
        <f t="shared" si="0"/>
        <v>0</v>
      </c>
      <c r="F11" s="10">
        <f t="shared" si="1"/>
        <v>0</v>
      </c>
      <c r="G11" s="228">
        <f t="shared" si="2"/>
        <v>0</v>
      </c>
      <c r="H11" s="448">
        <v>0</v>
      </c>
      <c r="I11" s="10">
        <f t="shared" ref="I11:K11" si="8">IF(H$15&gt;0,H11*100/H$15,0)</f>
        <v>0</v>
      </c>
      <c r="J11" s="447">
        <v>0</v>
      </c>
      <c r="K11" s="10">
        <f t="shared" si="8"/>
        <v>0</v>
      </c>
      <c r="L11" s="10">
        <f t="shared" si="3"/>
        <v>0</v>
      </c>
      <c r="M11" s="228">
        <f t="shared" si="4"/>
        <v>0</v>
      </c>
      <c r="N11" s="126" t="str">
        <f t="shared" si="5"/>
        <v>-</v>
      </c>
    </row>
    <row r="12" spans="1:14" ht="14.1" customHeight="1" x14ac:dyDescent="0.2">
      <c r="A12" s="85" t="s">
        <v>517</v>
      </c>
      <c r="B12" s="448">
        <v>1513.4459999999999</v>
      </c>
      <c r="C12" s="10">
        <f t="shared" si="0"/>
        <v>90.751528619682063</v>
      </c>
      <c r="D12" s="447">
        <v>550.80700000000002</v>
      </c>
      <c r="E12" s="10">
        <f t="shared" si="0"/>
        <v>89.402787877213953</v>
      </c>
      <c r="F12" s="10">
        <f t="shared" ref="F12:F14" si="9">B12+D12</f>
        <v>2064.2529999999997</v>
      </c>
      <c r="G12" s="228">
        <f t="shared" si="2"/>
        <v>90.387677956297821</v>
      </c>
      <c r="H12" s="448">
        <v>1531.654</v>
      </c>
      <c r="I12" s="10">
        <f t="shared" ref="I12:K12" si="10">IF(H$15&gt;0,H12*100/H$15,0)</f>
        <v>90.899185342696711</v>
      </c>
      <c r="J12" s="447">
        <v>551.971</v>
      </c>
      <c r="K12" s="10">
        <f t="shared" si="10"/>
        <v>89.565261132151392</v>
      </c>
      <c r="L12" s="10">
        <f t="shared" ref="L12:L14" si="11">H12+J12</f>
        <v>2083.625</v>
      </c>
      <c r="M12" s="228">
        <f t="shared" si="4"/>
        <v>90.541963367359315</v>
      </c>
      <c r="N12" s="126">
        <f t="shared" si="5"/>
        <v>100.93845085849459</v>
      </c>
    </row>
    <row r="13" spans="1:14" ht="14.1" customHeight="1" x14ac:dyDescent="0.2">
      <c r="A13" s="85" t="s">
        <v>432</v>
      </c>
      <c r="B13" s="448">
        <v>6.9039999999999999</v>
      </c>
      <c r="C13" s="10">
        <f>IF(B$15&gt;0,B13*100/B$15,0)</f>
        <v>0.41398804687467211</v>
      </c>
      <c r="D13" s="447">
        <v>0</v>
      </c>
      <c r="E13" s="10">
        <f>IF(D$15&gt;0,D13*100/D$15,0)</f>
        <v>0</v>
      </c>
      <c r="F13" s="10">
        <f t="shared" si="9"/>
        <v>6.9039999999999999</v>
      </c>
      <c r="G13" s="228">
        <f t="shared" si="2"/>
        <v>0.30230622341848612</v>
      </c>
      <c r="H13" s="448">
        <v>7.0570000000000004</v>
      </c>
      <c r="I13" s="10">
        <f>IF(H$15&gt;0,H13*100/H$15,0)</f>
        <v>0.41881231071992153</v>
      </c>
      <c r="J13" s="447">
        <v>0</v>
      </c>
      <c r="K13" s="10">
        <f>IF(J$15&gt;0,J13*100/J$15,0)</f>
        <v>0</v>
      </c>
      <c r="L13" s="10">
        <f t="shared" si="11"/>
        <v>7.0570000000000004</v>
      </c>
      <c r="M13" s="228">
        <f t="shared" si="4"/>
        <v>0.3066552932909975</v>
      </c>
      <c r="N13" s="126">
        <f>IF(F13&lt;&gt;0,L13*100/F13,"-")</f>
        <v>102.21610660486675</v>
      </c>
    </row>
    <row r="14" spans="1:14" ht="24" x14ac:dyDescent="0.2">
      <c r="A14" s="85" t="s">
        <v>516</v>
      </c>
      <c r="B14" s="448">
        <v>22.010999999999999</v>
      </c>
      <c r="C14" s="10">
        <f>IF(B$15&gt;0,B14*100/B$15,0)</f>
        <v>1.3198567351909629</v>
      </c>
      <c r="D14" s="447">
        <v>11.858000000000001</v>
      </c>
      <c r="E14" s="10">
        <f>IF(D$15&gt;0,D14*100/D$15,0)</f>
        <v>1.9247000467459616</v>
      </c>
      <c r="F14" s="10">
        <f t="shared" si="9"/>
        <v>33.869</v>
      </c>
      <c r="G14" s="228">
        <f t="shared" si="2"/>
        <v>1.4830257069757686</v>
      </c>
      <c r="H14" s="448">
        <v>21.873999999999999</v>
      </c>
      <c r="I14" s="10">
        <f>IF(H$15&gt;0,H14*100/H$15,0)</f>
        <v>1.2981579261283214</v>
      </c>
      <c r="J14" s="447">
        <v>11.599</v>
      </c>
      <c r="K14" s="10">
        <f>IF(J$15&gt;0,J14*100/J$15,0)</f>
        <v>1.8821051538429086</v>
      </c>
      <c r="L14" s="10">
        <f t="shared" si="11"/>
        <v>33.472999999999999</v>
      </c>
      <c r="M14" s="228">
        <f t="shared" si="4"/>
        <v>1.4545377118222416</v>
      </c>
      <c r="N14" s="126">
        <f t="shared" si="5"/>
        <v>98.830789217278323</v>
      </c>
    </row>
    <row r="15" spans="1:14" s="224" customFormat="1" ht="14.1" customHeight="1" thickBot="1" x14ac:dyDescent="0.25">
      <c r="A15" s="191" t="s">
        <v>137</v>
      </c>
      <c r="B15" s="466">
        <f>SUM(B7:B14)</f>
        <v>1667.6809999999998</v>
      </c>
      <c r="C15" s="241">
        <f>SUM(C7:C14)</f>
        <v>100.00000000000001</v>
      </c>
      <c r="D15" s="467">
        <f>SUM(D7:D14)</f>
        <v>616.096</v>
      </c>
      <c r="E15" s="241">
        <f t="shared" ref="E15:M15" si="12">SUM(E7:E14)</f>
        <v>100.00000000000001</v>
      </c>
      <c r="F15" s="467">
        <f>SUM(F7:F14)</f>
        <v>2283.777</v>
      </c>
      <c r="G15" s="246">
        <f t="shared" si="12"/>
        <v>99.999999999999986</v>
      </c>
      <c r="H15" s="466">
        <f t="shared" si="12"/>
        <v>1685.0030000000002</v>
      </c>
      <c r="I15" s="241">
        <f t="shared" si="12"/>
        <v>99.999999999999986</v>
      </c>
      <c r="J15" s="467">
        <f t="shared" si="12"/>
        <v>616.27800000000002</v>
      </c>
      <c r="K15" s="241">
        <f t="shared" si="12"/>
        <v>100</v>
      </c>
      <c r="L15" s="467">
        <f t="shared" si="12"/>
        <v>2301.2809999999999</v>
      </c>
      <c r="M15" s="246">
        <f t="shared" si="12"/>
        <v>100.00000000000001</v>
      </c>
      <c r="N15" s="242">
        <f t="shared" si="5"/>
        <v>100.76644961395093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99"/>
      <c r="C1" s="199"/>
    </row>
    <row r="2" spans="1:7" x14ac:dyDescent="0.2">
      <c r="C2" s="263"/>
      <c r="D2" s="263"/>
      <c r="E2" s="263"/>
      <c r="F2" s="27"/>
      <c r="G2" s="27"/>
    </row>
    <row r="3" spans="1:7" x14ac:dyDescent="0.2">
      <c r="A3" s="817" t="s">
        <v>339</v>
      </c>
      <c r="B3" s="818"/>
      <c r="C3" s="818"/>
      <c r="D3" s="818"/>
      <c r="E3" s="818"/>
      <c r="F3" s="818"/>
      <c r="G3" s="443" t="s">
        <v>399</v>
      </c>
    </row>
    <row r="4" spans="1:7" x14ac:dyDescent="0.2">
      <c r="A4" s="815" t="s">
        <v>12</v>
      </c>
      <c r="B4" s="770" t="s">
        <v>530</v>
      </c>
      <c r="C4" s="772"/>
      <c r="D4" s="770" t="s">
        <v>531</v>
      </c>
      <c r="E4" s="772"/>
      <c r="F4" s="779" t="s">
        <v>433</v>
      </c>
      <c r="G4" s="786" t="s">
        <v>434</v>
      </c>
    </row>
    <row r="5" spans="1:7" ht="24" x14ac:dyDescent="0.2">
      <c r="A5" s="816"/>
      <c r="B5" s="264" t="s">
        <v>129</v>
      </c>
      <c r="C5" s="265" t="s">
        <v>130</v>
      </c>
      <c r="D5" s="264" t="s">
        <v>129</v>
      </c>
      <c r="E5" s="265" t="s">
        <v>130</v>
      </c>
      <c r="F5" s="778"/>
      <c r="G5" s="786"/>
    </row>
    <row r="6" spans="1:7" ht="14.1" customHeight="1" x14ac:dyDescent="0.2">
      <c r="A6" s="247" t="s">
        <v>138</v>
      </c>
      <c r="B6" s="248">
        <v>6515.2150000000001</v>
      </c>
      <c r="C6" s="249">
        <v>5493.8069999999998</v>
      </c>
      <c r="D6" s="248">
        <v>6593.9359999999997</v>
      </c>
      <c r="E6" s="249">
        <v>5526.5129999999999</v>
      </c>
      <c r="F6" s="126">
        <f>IF(B6&gt;0,D6*100/B6,"-")</f>
        <v>101.20826404040388</v>
      </c>
      <c r="G6" s="126">
        <f>IF(C6&gt;0,E6*100/C6,"-")</f>
        <v>100.59532488127087</v>
      </c>
    </row>
    <row r="7" spans="1:7" ht="14.1" customHeight="1" x14ac:dyDescent="0.2">
      <c r="A7" s="247" t="s">
        <v>139</v>
      </c>
      <c r="B7" s="250">
        <v>1003.586</v>
      </c>
      <c r="C7" s="251">
        <v>1594.4849999999999</v>
      </c>
      <c r="D7" s="250">
        <v>997.76499999999999</v>
      </c>
      <c r="E7" s="251">
        <v>1606.7470000000001</v>
      </c>
      <c r="F7" s="11">
        <f t="shared" ref="F7:G10" si="0">IF(B7&gt;0,D7*100/B7,"-")</f>
        <v>99.419979951892515</v>
      </c>
      <c r="G7" s="126">
        <f t="shared" si="0"/>
        <v>100.76902573558235</v>
      </c>
    </row>
    <row r="8" spans="1:7" ht="14.1" customHeight="1" x14ac:dyDescent="0.2">
      <c r="A8" s="247" t="s">
        <v>518</v>
      </c>
      <c r="B8" s="248">
        <f>B6+B7</f>
        <v>7518.8010000000004</v>
      </c>
      <c r="C8" s="249">
        <f t="shared" ref="C8:E8" si="1">C6+C7</f>
        <v>7088.2919999999995</v>
      </c>
      <c r="D8" s="248">
        <f t="shared" si="1"/>
        <v>7591.701</v>
      </c>
      <c r="E8" s="249">
        <f t="shared" si="1"/>
        <v>7133.26</v>
      </c>
      <c r="F8" s="126">
        <f t="shared" si="0"/>
        <v>100.96956948321946</v>
      </c>
      <c r="G8" s="126">
        <f t="shared" si="0"/>
        <v>100.63439824431613</v>
      </c>
    </row>
    <row r="9" spans="1:7" ht="14.1" customHeight="1" x14ac:dyDescent="0.2">
      <c r="A9" s="247" t="s">
        <v>140</v>
      </c>
      <c r="B9" s="250">
        <v>360.52600000000001</v>
      </c>
      <c r="C9" s="251">
        <v>273.71499999999997</v>
      </c>
      <c r="D9" s="250">
        <v>364.35500000000002</v>
      </c>
      <c r="E9" s="251">
        <v>269.887</v>
      </c>
      <c r="F9" s="11">
        <f t="shared" si="0"/>
        <v>101.06205932443152</v>
      </c>
      <c r="G9" s="126">
        <f t="shared" si="0"/>
        <v>98.601465027492111</v>
      </c>
    </row>
    <row r="10" spans="1:7" s="224" customFormat="1" ht="14.1" customHeight="1" thickBot="1" x14ac:dyDescent="0.25">
      <c r="A10" s="252" t="s">
        <v>191</v>
      </c>
      <c r="B10" s="253">
        <f>B8-B9</f>
        <v>7158.2750000000005</v>
      </c>
      <c r="C10" s="254">
        <f t="shared" ref="C10:E10" si="2">C8-C9</f>
        <v>6814.5769999999993</v>
      </c>
      <c r="D10" s="253">
        <f t="shared" si="2"/>
        <v>7227.3459999999995</v>
      </c>
      <c r="E10" s="254">
        <f t="shared" si="2"/>
        <v>6863.3730000000005</v>
      </c>
      <c r="F10" s="255">
        <f t="shared" si="0"/>
        <v>100.96491123909041</v>
      </c>
      <c r="G10" s="256">
        <f t="shared" si="0"/>
        <v>100.716053248793</v>
      </c>
    </row>
    <row r="13" spans="1:7" s="201" customFormat="1" x14ac:dyDescent="0.2"/>
    <row r="14" spans="1:7" s="201" customFormat="1" x14ac:dyDescent="0.2"/>
    <row r="15" spans="1:7" s="201" customFormat="1" x14ac:dyDescent="0.2"/>
    <row r="16" spans="1:7" s="201" customFormat="1" x14ac:dyDescent="0.2"/>
    <row r="17" spans="1:7" s="201" customFormat="1" x14ac:dyDescent="0.2"/>
    <row r="18" spans="1:7" s="201" customFormat="1" x14ac:dyDescent="0.2">
      <c r="A18" s="266"/>
      <c r="B18" s="266"/>
      <c r="C18" s="266"/>
      <c r="D18" s="266"/>
      <c r="E18" s="266"/>
      <c r="F18" s="266"/>
      <c r="G18" s="266"/>
    </row>
    <row r="19" spans="1:7" s="201" customFormat="1" x14ac:dyDescent="0.2">
      <c r="A19" s="30"/>
      <c r="B19" s="25"/>
      <c r="C19" s="25"/>
      <c r="D19" s="25"/>
      <c r="E19" s="25"/>
      <c r="F19" s="25"/>
      <c r="G19" s="25"/>
    </row>
    <row r="20" spans="1:7" s="201" customFormat="1" x14ac:dyDescent="0.2">
      <c r="A20" s="30"/>
      <c r="B20" s="258"/>
      <c r="C20" s="258"/>
      <c r="D20" s="258"/>
      <c r="E20" s="258"/>
      <c r="F20" s="257"/>
      <c r="G20" s="25"/>
    </row>
    <row r="21" spans="1:7" s="201" customFormat="1" x14ac:dyDescent="0.2">
      <c r="A21" s="30"/>
      <c r="B21" s="25"/>
      <c r="C21" s="25"/>
      <c r="D21" s="25"/>
      <c r="E21" s="25"/>
      <c r="F21" s="25"/>
      <c r="G21" s="25"/>
    </row>
    <row r="22" spans="1:7" s="201" customFormat="1" x14ac:dyDescent="0.2">
      <c r="A22" s="30"/>
      <c r="B22" s="258"/>
      <c r="C22" s="258"/>
      <c r="D22" s="258"/>
      <c r="E22" s="258"/>
      <c r="F22" s="257"/>
      <c r="G22" s="25"/>
    </row>
    <row r="23" spans="1:7" s="201" customFormat="1" x14ac:dyDescent="0.2">
      <c r="A23" s="31"/>
      <c r="B23" s="259"/>
      <c r="C23" s="259"/>
      <c r="D23" s="259"/>
      <c r="E23" s="259"/>
      <c r="F23" s="260"/>
      <c r="G23" s="261"/>
    </row>
    <row r="24" spans="1:7" s="201" customFormat="1" x14ac:dyDescent="0.2"/>
    <row r="25" spans="1:7" s="201" customFormat="1" x14ac:dyDescent="0.2"/>
    <row r="26" spans="1:7" s="201" customFormat="1" x14ac:dyDescent="0.2"/>
    <row r="27" spans="1:7" s="201" customFormat="1" x14ac:dyDescent="0.2"/>
    <row r="28" spans="1:7" s="201" customFormat="1" x14ac:dyDescent="0.2"/>
    <row r="29" spans="1:7" s="201" customFormat="1" x14ac:dyDescent="0.2"/>
    <row r="30" spans="1:7" s="201" customFormat="1" x14ac:dyDescent="0.2"/>
    <row r="31" spans="1:7" s="201" customFormat="1" x14ac:dyDescent="0.2"/>
    <row r="32" spans="1:7" s="201" customFormat="1" x14ac:dyDescent="0.2"/>
    <row r="33" s="201" customFormat="1" x14ac:dyDescent="0.2"/>
    <row r="34" s="201" customFormat="1" x14ac:dyDescent="0.2"/>
    <row r="35" s="201" customFormat="1" x14ac:dyDescent="0.2"/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/>
  <dimension ref="A1:H15"/>
  <sheetViews>
    <sheetView topLeftCell="A3" zoomScaleNormal="100" workbookViewId="0">
      <selection activeCell="A4" sqref="A4"/>
    </sheetView>
  </sheetViews>
  <sheetFormatPr defaultColWidth="9.140625" defaultRowHeight="12" x14ac:dyDescent="0.2"/>
  <cols>
    <col min="1" max="1" width="4.5703125" style="27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262"/>
      <c r="C1" s="262"/>
      <c r="G1" s="223"/>
    </row>
    <row r="2" spans="1:8" hidden="1" x14ac:dyDescent="0.2">
      <c r="G2" s="201"/>
      <c r="H2" s="221"/>
    </row>
    <row r="3" spans="1:8" x14ac:dyDescent="0.2">
      <c r="G3" s="223"/>
    </row>
    <row r="4" spans="1:8" ht="14.45" customHeight="1" x14ac:dyDescent="0.2">
      <c r="A4" s="197" t="s">
        <v>389</v>
      </c>
      <c r="B4" s="65"/>
      <c r="C4" s="65"/>
      <c r="D4" s="65"/>
      <c r="E4" s="65"/>
      <c r="F4" s="443" t="s">
        <v>399</v>
      </c>
    </row>
    <row r="5" spans="1:8" ht="24.95" customHeight="1" x14ac:dyDescent="0.2">
      <c r="A5" s="819" t="s">
        <v>12</v>
      </c>
      <c r="B5" s="819"/>
      <c r="C5" s="284" t="s">
        <v>529</v>
      </c>
      <c r="D5" s="284" t="s">
        <v>530</v>
      </c>
      <c r="E5" s="284" t="s">
        <v>531</v>
      </c>
      <c r="F5" s="283" t="s">
        <v>11</v>
      </c>
    </row>
    <row r="6" spans="1:8" ht="15" customHeight="1" x14ac:dyDescent="0.2">
      <c r="A6" s="267" t="s">
        <v>67</v>
      </c>
      <c r="B6" s="268" t="s">
        <v>229</v>
      </c>
      <c r="C6" s="269">
        <v>2502.1010000000001</v>
      </c>
      <c r="D6" s="270">
        <v>2572.7579999999998</v>
      </c>
      <c r="E6" s="270">
        <v>2608.4270000000001</v>
      </c>
      <c r="F6" s="271">
        <f>IF(D6&gt;0,E6*100/D6,"-")</f>
        <v>101.38641100328908</v>
      </c>
      <c r="G6" s="263"/>
    </row>
    <row r="7" spans="1:8" ht="15" customHeight="1" x14ac:dyDescent="0.2">
      <c r="A7" s="267" t="s">
        <v>91</v>
      </c>
      <c r="B7" s="268" t="s">
        <v>230</v>
      </c>
      <c r="C7" s="269">
        <v>164.626</v>
      </c>
      <c r="D7" s="270">
        <v>184.816</v>
      </c>
      <c r="E7" s="270">
        <v>183.10900000000001</v>
      </c>
      <c r="F7" s="271">
        <f>IF(D7&gt;0,E7*100/D7,"-")</f>
        <v>99.076378668513556</v>
      </c>
      <c r="G7" s="263"/>
    </row>
    <row r="8" spans="1:8" ht="15" customHeight="1" x14ac:dyDescent="0.2">
      <c r="A8" s="272" t="s">
        <v>4</v>
      </c>
      <c r="B8" s="273" t="s">
        <v>231</v>
      </c>
      <c r="C8" s="274">
        <f>C6-C7</f>
        <v>2337.4749999999999</v>
      </c>
      <c r="D8" s="275">
        <f>D6-D7</f>
        <v>2387.942</v>
      </c>
      <c r="E8" s="275">
        <f>E6-E7</f>
        <v>2425.3180000000002</v>
      </c>
      <c r="F8" s="276">
        <f t="shared" ref="F8" si="0">IF(D8&gt;0,E8*100/D8,"-")</f>
        <v>101.56519714465428</v>
      </c>
      <c r="G8" s="263"/>
    </row>
    <row r="9" spans="1:8" ht="15" customHeight="1" x14ac:dyDescent="0.2">
      <c r="A9" s="267" t="s">
        <v>232</v>
      </c>
      <c r="B9" s="268" t="s">
        <v>229</v>
      </c>
      <c r="C9" s="269">
        <v>119.376</v>
      </c>
      <c r="D9" s="270">
        <v>131.57599999999999</v>
      </c>
      <c r="E9" s="270">
        <v>131.898</v>
      </c>
      <c r="F9" s="271">
        <f>IF(D9&gt;0,E9*100/D9,"-")</f>
        <v>100.24472548185079</v>
      </c>
    </row>
    <row r="10" spans="1:8" ht="15" customHeight="1" x14ac:dyDescent="0.2">
      <c r="A10" s="267" t="s">
        <v>233</v>
      </c>
      <c r="B10" s="268" t="s">
        <v>230</v>
      </c>
      <c r="C10" s="269">
        <v>18.922000000000001</v>
      </c>
      <c r="D10" s="270">
        <v>18.588000000000001</v>
      </c>
      <c r="E10" s="270">
        <v>18.43</v>
      </c>
      <c r="F10" s="271">
        <f>IF(D10&gt;0,E10*100/D10,"-")</f>
        <v>99.149989240370132</v>
      </c>
    </row>
    <row r="11" spans="1:8" ht="15" customHeight="1" x14ac:dyDescent="0.2">
      <c r="A11" s="272" t="s">
        <v>5</v>
      </c>
      <c r="B11" s="277" t="s">
        <v>234</v>
      </c>
      <c r="C11" s="274">
        <f>C9-C10</f>
        <v>100.45400000000001</v>
      </c>
      <c r="D11" s="275">
        <f>D9-D10</f>
        <v>112.988</v>
      </c>
      <c r="E11" s="275">
        <f>E9-E10</f>
        <v>113.46799999999999</v>
      </c>
      <c r="F11" s="276">
        <f>IF(D11&gt;0,E11*100/D11,"-")</f>
        <v>100.42482387510178</v>
      </c>
    </row>
    <row r="12" spans="1:8" ht="15" customHeight="1" x14ac:dyDescent="0.2">
      <c r="A12" s="267" t="s">
        <v>235</v>
      </c>
      <c r="B12" s="268" t="s">
        <v>229</v>
      </c>
      <c r="C12" s="278">
        <v>737.78099999999995</v>
      </c>
      <c r="D12" s="269">
        <v>733.35900000000004</v>
      </c>
      <c r="E12" s="269">
        <v>736.74099999999999</v>
      </c>
      <c r="F12" s="271">
        <f>IF(D12&gt;0,E12*100/D12,"-")</f>
        <v>100.46116567738311</v>
      </c>
    </row>
    <row r="13" spans="1:8" ht="15" customHeight="1" x14ac:dyDescent="0.2">
      <c r="A13" s="267" t="s">
        <v>236</v>
      </c>
      <c r="B13" s="268" t="s">
        <v>230</v>
      </c>
      <c r="C13" s="278">
        <v>4.367</v>
      </c>
      <c r="D13" s="269">
        <v>10.731</v>
      </c>
      <c r="E13" s="269">
        <v>11.032</v>
      </c>
      <c r="F13" s="271">
        <f t="shared" ref="F13:F14" si="1">IF(D13&gt;0,E13*100/D13,"-")</f>
        <v>102.80495759947816</v>
      </c>
    </row>
    <row r="14" spans="1:8" ht="15" customHeight="1" x14ac:dyDescent="0.2">
      <c r="A14" s="267" t="s">
        <v>6</v>
      </c>
      <c r="B14" s="268" t="s">
        <v>237</v>
      </c>
      <c r="C14" s="278">
        <f>C12-C13</f>
        <v>733.41399999999999</v>
      </c>
      <c r="D14" s="269">
        <f>D12-D13</f>
        <v>722.62800000000004</v>
      </c>
      <c r="E14" s="269">
        <f>E12-E13</f>
        <v>725.70899999999995</v>
      </c>
      <c r="F14" s="271">
        <f t="shared" si="1"/>
        <v>100.42636045102043</v>
      </c>
    </row>
    <row r="15" spans="1:8" s="224" customFormat="1" ht="15" customHeight="1" thickBot="1" x14ac:dyDescent="0.25">
      <c r="A15" s="279"/>
      <c r="B15" s="280" t="s">
        <v>238</v>
      </c>
      <c r="C15" s="281">
        <f>C8-C11+C14</f>
        <v>2970.4349999999995</v>
      </c>
      <c r="D15" s="281">
        <f>D8-D11+D14</f>
        <v>2997.5820000000003</v>
      </c>
      <c r="E15" s="281">
        <f>E8-E11+E14</f>
        <v>3037.5590000000002</v>
      </c>
      <c r="F15" s="282">
        <f>IF(D15&gt;0,E15*100/D15,"-")</f>
        <v>101.33364158178158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7"/>
  <sheetViews>
    <sheetView zoomScaleNormal="100" workbookViewId="0"/>
  </sheetViews>
  <sheetFormatPr defaultRowHeight="15" x14ac:dyDescent="0.25"/>
  <cols>
    <col min="1" max="1" width="10.7109375" customWidth="1"/>
    <col min="2" max="2" width="89.42578125" customWidth="1"/>
    <col min="3" max="3" width="15.140625" style="61" customWidth="1"/>
    <col min="7" max="7" width="6.5703125" customWidth="1"/>
  </cols>
  <sheetData>
    <row r="1" spans="1:7" s="59" customFormat="1" ht="15.75" customHeight="1" thickBot="1" x14ac:dyDescent="0.3">
      <c r="A1" s="62" t="s">
        <v>382</v>
      </c>
      <c r="B1" s="62"/>
      <c r="C1" s="61"/>
      <c r="D1" s="35"/>
      <c r="E1" s="35"/>
      <c r="F1" s="35"/>
      <c r="G1" s="35"/>
    </row>
    <row r="2" spans="1:7" ht="15.75" thickTop="1" x14ac:dyDescent="0.25">
      <c r="A2" s="759" t="s">
        <v>352</v>
      </c>
      <c r="B2" s="757" t="s">
        <v>329</v>
      </c>
    </row>
    <row r="3" spans="1:7" x14ac:dyDescent="0.25">
      <c r="A3" s="759" t="s">
        <v>353</v>
      </c>
      <c r="B3" s="757" t="s">
        <v>330</v>
      </c>
      <c r="D3" s="60"/>
      <c r="E3" s="48"/>
    </row>
    <row r="4" spans="1:7" x14ac:dyDescent="0.25">
      <c r="A4" s="759" t="s">
        <v>299</v>
      </c>
      <c r="B4" s="757" t="s">
        <v>331</v>
      </c>
      <c r="D4" s="60"/>
      <c r="E4" s="63"/>
    </row>
    <row r="5" spans="1:7" x14ac:dyDescent="0.25">
      <c r="A5" s="759" t="s">
        <v>354</v>
      </c>
      <c r="B5" s="757" t="s">
        <v>332</v>
      </c>
    </row>
    <row r="6" spans="1:7" x14ac:dyDescent="0.25">
      <c r="A6" s="759" t="s">
        <v>300</v>
      </c>
      <c r="B6" s="757" t="s">
        <v>333</v>
      </c>
    </row>
    <row r="7" spans="1:7" x14ac:dyDescent="0.25">
      <c r="A7" s="759" t="s">
        <v>355</v>
      </c>
      <c r="B7" s="757" t="s">
        <v>334</v>
      </c>
    </row>
    <row r="8" spans="1:7" x14ac:dyDescent="0.25">
      <c r="A8" s="759" t="s">
        <v>356</v>
      </c>
      <c r="B8" s="757" t="s">
        <v>335</v>
      </c>
    </row>
    <row r="9" spans="1:7" x14ac:dyDescent="0.25">
      <c r="A9" s="759" t="s">
        <v>301</v>
      </c>
      <c r="B9" s="757" t="s">
        <v>384</v>
      </c>
    </row>
    <row r="10" spans="1:7" x14ac:dyDescent="0.25">
      <c r="A10" s="759" t="s">
        <v>357</v>
      </c>
      <c r="B10" s="757" t="s">
        <v>336</v>
      </c>
    </row>
    <row r="11" spans="1:7" x14ac:dyDescent="0.25">
      <c r="A11" s="759" t="s">
        <v>302</v>
      </c>
      <c r="B11" s="757" t="s">
        <v>337</v>
      </c>
    </row>
    <row r="12" spans="1:7" x14ac:dyDescent="0.25">
      <c r="A12" s="759" t="s">
        <v>358</v>
      </c>
      <c r="B12" s="757" t="s">
        <v>338</v>
      </c>
    </row>
    <row r="13" spans="1:7" x14ac:dyDescent="0.25">
      <c r="A13" s="759" t="s">
        <v>359</v>
      </c>
      <c r="B13" s="757" t="s">
        <v>386</v>
      </c>
    </row>
    <row r="14" spans="1:7" x14ac:dyDescent="0.25">
      <c r="A14" s="759" t="s">
        <v>360</v>
      </c>
      <c r="B14" s="757" t="s">
        <v>385</v>
      </c>
    </row>
    <row r="15" spans="1:7" x14ac:dyDescent="0.25">
      <c r="A15" s="759" t="s">
        <v>361</v>
      </c>
      <c r="B15" s="757" t="s">
        <v>388</v>
      </c>
    </row>
    <row r="16" spans="1:7" x14ac:dyDescent="0.25">
      <c r="A16" s="759" t="s">
        <v>362</v>
      </c>
      <c r="B16" s="757" t="s">
        <v>387</v>
      </c>
    </row>
    <row r="17" spans="1:6" x14ac:dyDescent="0.25">
      <c r="A17" s="759" t="s">
        <v>363</v>
      </c>
      <c r="B17" s="757" t="s">
        <v>339</v>
      </c>
    </row>
    <row r="18" spans="1:6" x14ac:dyDescent="0.25">
      <c r="A18" s="759" t="s">
        <v>303</v>
      </c>
      <c r="B18" s="757" t="s">
        <v>389</v>
      </c>
    </row>
    <row r="19" spans="1:6" x14ac:dyDescent="0.25">
      <c r="A19" s="759" t="s">
        <v>364</v>
      </c>
      <c r="B19" s="757" t="s">
        <v>340</v>
      </c>
    </row>
    <row r="20" spans="1:6" x14ac:dyDescent="0.25">
      <c r="A20" s="759" t="s">
        <v>365</v>
      </c>
      <c r="B20" s="757" t="s">
        <v>341</v>
      </c>
    </row>
    <row r="21" spans="1:6" s="15" customFormat="1" x14ac:dyDescent="0.25">
      <c r="A21" s="759" t="s">
        <v>366</v>
      </c>
      <c r="B21" s="757" t="s">
        <v>342</v>
      </c>
      <c r="C21" s="61"/>
    </row>
    <row r="22" spans="1:6" s="15" customFormat="1" x14ac:dyDescent="0.25">
      <c r="A22" s="759" t="s">
        <v>367</v>
      </c>
      <c r="B22" s="757" t="s">
        <v>343</v>
      </c>
      <c r="C22" s="61"/>
    </row>
    <row r="23" spans="1:6" s="15" customFormat="1" x14ac:dyDescent="0.25">
      <c r="A23" s="759" t="s">
        <v>368</v>
      </c>
      <c r="B23" s="757" t="s">
        <v>344</v>
      </c>
      <c r="C23" s="61"/>
    </row>
    <row r="24" spans="1:6" x14ac:dyDescent="0.25">
      <c r="A24" s="759" t="s">
        <v>369</v>
      </c>
      <c r="B24" s="757" t="s">
        <v>345</v>
      </c>
    </row>
    <row r="25" spans="1:6" x14ac:dyDescent="0.25">
      <c r="A25" s="759" t="s">
        <v>370</v>
      </c>
      <c r="B25" s="757" t="s">
        <v>346</v>
      </c>
    </row>
    <row r="26" spans="1:6" x14ac:dyDescent="0.25">
      <c r="A26" s="759" t="s">
        <v>371</v>
      </c>
      <c r="B26" s="757" t="s">
        <v>347</v>
      </c>
    </row>
    <row r="27" spans="1:6" x14ac:dyDescent="0.25">
      <c r="A27" s="759" t="s">
        <v>372</v>
      </c>
      <c r="B27" s="757" t="s">
        <v>497</v>
      </c>
    </row>
    <row r="28" spans="1:6" x14ac:dyDescent="0.25">
      <c r="A28" s="759" t="s">
        <v>373</v>
      </c>
      <c r="B28" s="760" t="s">
        <v>458</v>
      </c>
    </row>
    <row r="29" spans="1:6" x14ac:dyDescent="0.25">
      <c r="A29" s="759" t="s">
        <v>374</v>
      </c>
      <c r="B29" s="757" t="s">
        <v>7</v>
      </c>
      <c r="F29" s="3"/>
    </row>
    <row r="30" spans="1:6" x14ac:dyDescent="0.25">
      <c r="A30" s="759" t="s">
        <v>375</v>
      </c>
      <c r="B30" s="757" t="s">
        <v>348</v>
      </c>
    </row>
    <row r="31" spans="1:6" x14ac:dyDescent="0.25">
      <c r="A31" s="759" t="s">
        <v>376</v>
      </c>
      <c r="B31" s="757" t="s">
        <v>349</v>
      </c>
    </row>
    <row r="32" spans="1:6" x14ac:dyDescent="0.25">
      <c r="A32" s="759" t="s">
        <v>377</v>
      </c>
      <c r="B32" s="757" t="s">
        <v>350</v>
      </c>
    </row>
    <row r="33" spans="1:3" s="15" customFormat="1" x14ac:dyDescent="0.25">
      <c r="A33" s="759" t="s">
        <v>378</v>
      </c>
      <c r="B33" s="757" t="s">
        <v>391</v>
      </c>
      <c r="C33" s="61"/>
    </row>
    <row r="34" spans="1:3" s="15" customFormat="1" x14ac:dyDescent="0.25">
      <c r="A34" s="759" t="s">
        <v>379</v>
      </c>
      <c r="B34" s="757" t="s">
        <v>383</v>
      </c>
      <c r="C34" s="61"/>
    </row>
    <row r="35" spans="1:3" x14ac:dyDescent="0.25">
      <c r="A35" s="758" t="s">
        <v>380</v>
      </c>
      <c r="B35" s="757" t="s">
        <v>351</v>
      </c>
    </row>
    <row r="36" spans="1:3" x14ac:dyDescent="0.25">
      <c r="A36" s="758" t="s">
        <v>381</v>
      </c>
      <c r="B36" s="757" t="s">
        <v>489</v>
      </c>
    </row>
    <row r="37" spans="1:3" x14ac:dyDescent="0.25">
      <c r="A37" s="758" t="s">
        <v>521</v>
      </c>
      <c r="B37" s="757" t="s">
        <v>338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9" type="noConversion"/>
  <conditionalFormatting sqref="A29">
    <cfRule type="cellIs" dxfId="11" priority="23" operator="equal">
      <formula>"ne"</formula>
    </cfRule>
    <cfRule type="cellIs" dxfId="10" priority="24" operator="equal">
      <formula>"da"</formula>
    </cfRule>
  </conditionalFormatting>
  <conditionalFormatting sqref="A30">
    <cfRule type="cellIs" dxfId="9" priority="21" operator="equal">
      <formula>"ne"</formula>
    </cfRule>
    <cfRule type="cellIs" dxfId="8" priority="22" operator="equal">
      <formula>"da"</formula>
    </cfRule>
  </conditionalFormatting>
  <conditionalFormatting sqref="A31">
    <cfRule type="cellIs" dxfId="7" priority="19" operator="equal">
      <formula>"ne"</formula>
    </cfRule>
    <cfRule type="cellIs" dxfId="6" priority="20" operator="equal">
      <formula>"da"</formula>
    </cfRule>
  </conditionalFormatting>
  <conditionalFormatting sqref="A32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3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4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1'!B2" display="Банке РС и организациони дијелови банака из ФБиХ у РС" xr:uid="{B4060038-A1EC-40AC-A84C-B5883EF978B9}"/>
    <hyperlink ref="B3" location="'Tab 2'!A1" display="Тржишно учешће банака у укупној активи, капиталу и депозитима" xr:uid="{396AA2F2-EAB2-490A-89D9-E9460D192959}"/>
    <hyperlink ref="B4" location="'Tab 3'!A1" display="Актива по запосленом" xr:uid="{893EC68A-12B3-4B69-8A7D-FF77F8F28EDF}"/>
    <hyperlink ref="B5" location="'Tab 4'!A3" display="Секторска структура депозита" xr:uid="{1833710B-CF12-4F77-9135-DD93A555FE4E}"/>
    <hyperlink ref="B6" location="'Tab 5'!A3" display="Структура депозита по валути" xr:uid="{9B284AF8-242C-4172-B406-23A17E338E83}"/>
    <hyperlink ref="B7" location="'Tab 6'!A3" display="Рочна структура депозита" xr:uid="{8CB685D9-8F4F-4741-B6E2-FC477021D956}"/>
    <hyperlink ref="B8" location="'Tab 7'!A3" display="Кредити и штедња грађана" xr:uid="{5AB605F9-F3A4-4AD1-8A6E-A2BBB99FF74F}"/>
    <hyperlink ref="B9" location="'Tab 8'!A3" display="Рочна и секторска структура депозита" xr:uid="{C29C0796-4D3D-4FF9-807D-23AAA52303AF}"/>
    <hyperlink ref="B10" location="'Tab 9'!A3" display="Структура ванбилансне активе" xr:uid="{B0F40F1A-C8FA-42C2-BF9E-A4C4BD8E5FA3}"/>
    <hyperlink ref="B11" location="'Tab 10'!A3" display="Структура новчаних средстава" xr:uid="{E7516FF3-6DF5-4718-98BD-557702025525}"/>
    <hyperlink ref="B12" location="'Tab 11'!A3" display="Секторска структура укупних кредита" xr:uid="{E25BF288-45DC-4A26-A271-9DC0A5488D21}"/>
    <hyperlink ref="B13" location="'Tab 12'!A3" display="Рочна структура кредита" xr:uid="{5E86816D-1857-41D1-A49F-601FD7BF8CB3}"/>
    <hyperlink ref="B14" location="'Tab 13'!A3" display="Рочна и секторска структура кредита" xr:uid="{EC7CFC47-FE24-4DE9-B25B-C8A6F14ECA80}"/>
    <hyperlink ref="B15" location="'Tab 14'!A3" display="Структура кредита грађанима банака РС и посл. јединица банака из ФБиХ" xr:uid="{B1E1E92C-6E9A-4061-AC03-FF587FBF8F77}"/>
    <hyperlink ref="B16" location="'Tab 15'!A3" display="Намјенска структура кредита грађанима за општу потрошњу" xr:uid="{CA1F6488-386D-4017-BAD1-55238ADDEF50}"/>
    <hyperlink ref="B17" location="'Tab 16'!A3" display="Прикупљени депозити и пласирани кредити" xr:uid="{A59B0F17-81A7-4F31-9AEB-030F62CFCB9B}"/>
    <hyperlink ref="B18" location="'Tab 17'!A4" display="Задуженост становништва по кредитима (осим кредита за обављање дјелатности)" xr:uid="{0361C649-4721-45AB-8761-BD3ADE6C8CEC}"/>
    <hyperlink ref="B19" location="'Tab 18'!A2" display="Биланс успјеха банкарског сектора РС" xr:uid="{46526F3A-9C76-40CE-BE74-4D7A5227B2CA}"/>
    <hyperlink ref="B20" location="'Tab 19'!A2" display="ROAA и ROAE показатељи" xr:uid="{CB7E005D-2018-4685-A828-54FE3E0F5E8F}"/>
    <hyperlink ref="B21" location="'Tab 20'!A4" display="Укупна финансијска имовина према начину вредновања и ЕCL" xr:uid="{D41255B8-2A55-4D27-B6F1-3F8C586EB7D4}"/>
    <hyperlink ref="B22" location="'Tab 21'!A4" display="Укупна финансијска имовина према нивоима кредитног ризика" xr:uid="{5ACF7C9F-623C-40E4-9EAD-9F9731AF7BBF}"/>
    <hyperlink ref="B23" location="'Tab 22'!A4" display="Преглед кредита правним и физичким лицима према нивоу кредитног ризика и припадајући ECL" xr:uid="{23ECE21F-5A33-46D1-89CA-F0E38DCFC8F2}"/>
    <hyperlink ref="B24" location="'Tab 23'!A1" display="Просјечне пондерисане каматне стопе на кредите" xr:uid="{A6803960-6FC8-456F-B403-0B38026BBFD6}"/>
    <hyperlink ref="B25" location="'Tab 24'!A3" display="Просјечне пондерисане каматне стопе на депозите" xr:uid="{362CA2D3-A219-4322-994E-0460EDEA536B}"/>
    <hyperlink ref="B26" location="'Tab 25'!B2" display="Просјечне пондерисане каматне стопе на прекорачења и депозите по виђењу" xr:uid="{F47EAC8A-B961-4EDB-99E3-F9EB2E0226A6}"/>
    <hyperlink ref="B27" location="'Tab 26'!A2" display="Коефицијент покрића ликвидности - LCR" xr:uid="{7466D6E6-A01B-40FC-A878-6291F0917F9F}"/>
    <hyperlink ref="B28" location="'Tab 27'!A2" display="Показатељи ликвидности" xr:uid="{7E57A153-38B9-4FFA-A371-705870B9964F}"/>
    <hyperlink ref="B29" location="'Tab 28'!A2" display="Структура капитала" xr:uid="{846BA00F-225F-4219-AEFB-FFC1DFDE38BC}"/>
    <hyperlink ref="B30" location="'Tab 29'!A3" display="Укупна изложеност банкарског сектора ризику " xr:uid="{78F22B58-6C75-4193-BA2A-60EEB3070AB3}"/>
    <hyperlink ref="B31" location="'Tab 30'!B2" display="Показатељи адекватности капитала" xr:uid="{4EC9D633-E40E-45F5-BD3B-CA05AF2B23BB}"/>
    <hyperlink ref="B32" location="'Tab 31'!A3" display="Стопа финансијске полуге" xr:uid="{447129EF-BF34-479C-85B8-C2156048CF2B}"/>
    <hyperlink ref="B33" location="'Tab 32'!A2" display="Унутрашњи платни промет" xr:uid="{768DF4D5-BFDB-47D2-9C40-888C9020E7AE}"/>
    <hyperlink ref="B34" location="'Tab 33'!A1" display="Девизни платни промет (противриједност у КМ)" xr:uid="{7FF42204-4483-497C-9AC4-612B260DC798}"/>
    <hyperlink ref="B35" location="'Pr 1'!B2" display="Основни подаци о банкама" xr:uid="{93C6158A-CAF5-4CB3-816B-7223D7D8BCB6}"/>
    <hyperlink ref="B36" location="'Pr 2'!A3" display="Биланс стања" xr:uid="{B5B6ACFF-9C51-4DBD-B30B-9F61010FBDA2}"/>
    <hyperlink ref="B37" location="'Pr 3'!A2" display="Секторска структура укупних кредита" xr:uid="{5AC1426A-D2ED-4908-94D1-958C04B76DF7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5"/>
  <dimension ref="A1:F21"/>
  <sheetViews>
    <sheetView zoomScaleNormal="100" workbookViewId="0">
      <selection activeCell="A2" sqref="A2"/>
    </sheetView>
  </sheetViews>
  <sheetFormatPr defaultColWidth="8.7109375" defaultRowHeight="12" x14ac:dyDescent="0.2"/>
  <cols>
    <col min="1" max="1" width="50.140625" style="4" customWidth="1"/>
    <col min="2" max="2" width="7.5703125" style="4" customWidth="1"/>
    <col min="3" max="3" width="6.5703125" style="4" customWidth="1"/>
    <col min="4" max="4" width="7.5703125" style="4" customWidth="1"/>
    <col min="5" max="5" width="6.5703125" style="4" customWidth="1"/>
    <col min="6" max="6" width="10.42578125" style="4" customWidth="1"/>
    <col min="7" max="16384" width="8.7109375" style="4"/>
  </cols>
  <sheetData>
    <row r="1" spans="1:6" x14ac:dyDescent="0.2">
      <c r="A1" s="233"/>
      <c r="B1" s="223"/>
      <c r="C1" s="223"/>
      <c r="D1" s="223"/>
      <c r="E1" s="223"/>
      <c r="F1" s="223"/>
    </row>
    <row r="2" spans="1:6" x14ac:dyDescent="0.2">
      <c r="A2" s="65" t="s">
        <v>340</v>
      </c>
      <c r="B2" s="65"/>
      <c r="C2" s="65"/>
      <c r="D2" s="65"/>
      <c r="E2" s="65"/>
      <c r="F2" s="443" t="s">
        <v>399</v>
      </c>
    </row>
    <row r="3" spans="1:6" x14ac:dyDescent="0.2">
      <c r="A3" s="820" t="s">
        <v>12</v>
      </c>
      <c r="B3" s="822" t="s">
        <v>547</v>
      </c>
      <c r="C3" s="823"/>
      <c r="D3" s="822" t="s">
        <v>531</v>
      </c>
      <c r="E3" s="823"/>
      <c r="F3" s="824" t="s">
        <v>11</v>
      </c>
    </row>
    <row r="4" spans="1:6" x14ac:dyDescent="0.2">
      <c r="A4" s="821"/>
      <c r="B4" s="306" t="s">
        <v>2</v>
      </c>
      <c r="C4" s="307" t="s">
        <v>3</v>
      </c>
      <c r="D4" s="306" t="s">
        <v>2</v>
      </c>
      <c r="E4" s="307" t="s">
        <v>3</v>
      </c>
      <c r="F4" s="825"/>
    </row>
    <row r="5" spans="1:6" ht="14.1" customHeight="1" x14ac:dyDescent="0.2">
      <c r="A5" s="285" t="s">
        <v>519</v>
      </c>
      <c r="B5" s="286"/>
      <c r="C5" s="287"/>
      <c r="D5" s="286"/>
      <c r="E5" s="287"/>
      <c r="F5" s="288"/>
    </row>
    <row r="6" spans="1:6" ht="14.1" customHeight="1" x14ac:dyDescent="0.2">
      <c r="A6" s="289" t="s">
        <v>144</v>
      </c>
      <c r="B6" s="290">
        <v>73.561999999999998</v>
      </c>
      <c r="C6" s="291">
        <f>IF(B$8&lt;&gt;0,B6*100/B$8,0)</f>
        <v>65.676252377083571</v>
      </c>
      <c r="D6" s="290">
        <v>72.855000000000004</v>
      </c>
      <c r="E6" s="291">
        <f>IF(D$8&lt;&gt;0,D6*100/D$8,0)</f>
        <v>62.054955538141805</v>
      </c>
      <c r="F6" s="292">
        <f>IF(B6&lt;&gt;0,D6/B6*100,"-")</f>
        <v>99.038905956879915</v>
      </c>
    </row>
    <row r="7" spans="1:6" ht="14.1" customHeight="1" x14ac:dyDescent="0.2">
      <c r="A7" s="289" t="s">
        <v>145</v>
      </c>
      <c r="B7" s="290">
        <v>38.445</v>
      </c>
      <c r="C7" s="291">
        <f>IF(B$8&lt;&gt;0,B7*100/B$8,0)</f>
        <v>34.323747622916422</v>
      </c>
      <c r="D7" s="290">
        <v>44.548999999999999</v>
      </c>
      <c r="E7" s="291">
        <f>IF(D$8&lt;&gt;0,D7*100/D$8,0)</f>
        <v>37.945044461858195</v>
      </c>
      <c r="F7" s="292">
        <f>IF(B7&lt;&gt;0,D7/B7*100,"-")</f>
        <v>115.87722720769931</v>
      </c>
    </row>
    <row r="8" spans="1:6" ht="14.1" customHeight="1" x14ac:dyDescent="0.2">
      <c r="A8" s="285" t="s">
        <v>146</v>
      </c>
      <c r="B8" s="293">
        <f>SUM(B6:B7)</f>
        <v>112.00700000000001</v>
      </c>
      <c r="C8" s="294">
        <f>SUM(C6:C7)</f>
        <v>100</v>
      </c>
      <c r="D8" s="293">
        <f>SUM(D6:D7)</f>
        <v>117.404</v>
      </c>
      <c r="E8" s="294">
        <f>SUM(E6:E7)</f>
        <v>100</v>
      </c>
      <c r="F8" s="292">
        <f>IF(B8&lt;&gt;0,D8/B8*100,"-")</f>
        <v>104.81844884694706</v>
      </c>
    </row>
    <row r="9" spans="1:6" ht="14.1" customHeight="1" x14ac:dyDescent="0.2">
      <c r="A9" s="285" t="s">
        <v>147</v>
      </c>
      <c r="B9" s="293"/>
      <c r="C9" s="287"/>
      <c r="D9" s="293"/>
      <c r="E9" s="287"/>
      <c r="F9" s="292"/>
    </row>
    <row r="10" spans="1:6" ht="14.1" customHeight="1" x14ac:dyDescent="0.2">
      <c r="A10" s="289" t="s">
        <v>148</v>
      </c>
      <c r="B10" s="290">
        <v>15.348000000000001</v>
      </c>
      <c r="C10" s="291">
        <f>IF(B$13&lt;&gt;0,B10*100/B$13,0)</f>
        <v>17.550198966290083</v>
      </c>
      <c r="D10" s="290">
        <v>14.928000000000001</v>
      </c>
      <c r="E10" s="291">
        <f>IF(D$13&lt;&gt;0,D10*100/D$13,0)</f>
        <v>17.844292766893389</v>
      </c>
      <c r="F10" s="292">
        <f t="shared" ref="F10:F21" si="0">IF(B10&lt;&gt;0,D10/B10*100,"-")</f>
        <v>97.263487099296327</v>
      </c>
    </row>
    <row r="11" spans="1:6" ht="14.1" customHeight="1" x14ac:dyDescent="0.2">
      <c r="A11" s="289" t="s">
        <v>149</v>
      </c>
      <c r="B11" s="290">
        <v>14.215</v>
      </c>
      <c r="C11" s="291">
        <f t="shared" ref="C11:C12" si="1">IF(B$13&lt;&gt;0,B11*100/B$13,0)</f>
        <v>16.254631111924255</v>
      </c>
      <c r="D11" s="290">
        <v>11.407999999999999</v>
      </c>
      <c r="E11" s="291">
        <f>IF(D$13&lt;&gt;0,D11*100/D$13,0)</f>
        <v>13.636635308461933</v>
      </c>
      <c r="F11" s="292">
        <f t="shared" si="0"/>
        <v>80.253253605346458</v>
      </c>
    </row>
    <row r="12" spans="1:6" ht="14.1" customHeight="1" x14ac:dyDescent="0.2">
      <c r="A12" s="289" t="s">
        <v>150</v>
      </c>
      <c r="B12" s="290">
        <v>57.889000000000003</v>
      </c>
      <c r="C12" s="291">
        <f t="shared" si="1"/>
        <v>66.195169921785677</v>
      </c>
      <c r="D12" s="290">
        <v>57.320999999999998</v>
      </c>
      <c r="E12" s="291">
        <f>IF(D$13&lt;&gt;0,D12*100/D$13,0)</f>
        <v>68.519071924644678</v>
      </c>
      <c r="F12" s="292">
        <f t="shared" si="0"/>
        <v>99.018811864084711</v>
      </c>
    </row>
    <row r="13" spans="1:6" ht="14.1" customHeight="1" x14ac:dyDescent="0.2">
      <c r="A13" s="285" t="s">
        <v>151</v>
      </c>
      <c r="B13" s="293">
        <f>SUM(B10:B12)</f>
        <v>87.451999999999998</v>
      </c>
      <c r="C13" s="294">
        <f>SUM(C10:C12)</f>
        <v>100.00000000000001</v>
      </c>
      <c r="D13" s="293">
        <f>SUM(D10:D12)</f>
        <v>83.656999999999996</v>
      </c>
      <c r="E13" s="294">
        <f>SUM(E10:E12)</f>
        <v>100</v>
      </c>
      <c r="F13" s="292">
        <f t="shared" si="0"/>
        <v>95.660476604308641</v>
      </c>
    </row>
    <row r="14" spans="1:6" ht="14.1" customHeight="1" x14ac:dyDescent="0.2">
      <c r="A14" s="285" t="s">
        <v>152</v>
      </c>
      <c r="B14" s="293">
        <f>B8-B13</f>
        <v>24.555000000000007</v>
      </c>
      <c r="C14" s="287"/>
      <c r="D14" s="293">
        <f>D8-D13</f>
        <v>33.747</v>
      </c>
      <c r="E14" s="287"/>
      <c r="F14" s="292">
        <f t="shared" si="0"/>
        <v>137.43433109346361</v>
      </c>
    </row>
    <row r="15" spans="1:6" ht="14.1" customHeight="1" x14ac:dyDescent="0.2">
      <c r="A15" s="285" t="s">
        <v>153</v>
      </c>
      <c r="B15" s="293">
        <v>25.048999999999999</v>
      </c>
      <c r="C15" s="287"/>
      <c r="D15" s="293">
        <v>33.747</v>
      </c>
      <c r="E15" s="287"/>
      <c r="F15" s="292">
        <f t="shared" si="0"/>
        <v>134.72394107549204</v>
      </c>
    </row>
    <row r="16" spans="1:6" ht="14.1" customHeight="1" x14ac:dyDescent="0.2">
      <c r="A16" s="285" t="s">
        <v>154</v>
      </c>
      <c r="B16" s="293">
        <v>0.49399999999999999</v>
      </c>
      <c r="C16" s="287"/>
      <c r="D16" s="293">
        <v>0</v>
      </c>
      <c r="E16" s="287"/>
      <c r="F16" s="292">
        <f t="shared" si="0"/>
        <v>0</v>
      </c>
    </row>
    <row r="17" spans="1:6" ht="14.1" customHeight="1" x14ac:dyDescent="0.2">
      <c r="A17" s="285" t="s">
        <v>155</v>
      </c>
      <c r="B17" s="295">
        <v>1.8080000000000001</v>
      </c>
      <c r="C17" s="296"/>
      <c r="D17" s="295">
        <v>1.9650000000000001</v>
      </c>
      <c r="E17" s="296"/>
      <c r="F17" s="292">
        <f t="shared" si="0"/>
        <v>108.68362831858407</v>
      </c>
    </row>
    <row r="18" spans="1:6" ht="14.1" customHeight="1" x14ac:dyDescent="0.2">
      <c r="A18" s="285" t="s">
        <v>156</v>
      </c>
      <c r="B18" s="290">
        <v>7.0999999999999994E-2</v>
      </c>
      <c r="C18" s="297"/>
      <c r="D18" s="290">
        <v>7.2999999999999995E-2</v>
      </c>
      <c r="E18" s="296"/>
      <c r="F18" s="292">
        <f t="shared" si="0"/>
        <v>102.8169014084507</v>
      </c>
    </row>
    <row r="19" spans="1:6" ht="14.1" customHeight="1" x14ac:dyDescent="0.2">
      <c r="A19" s="285" t="s">
        <v>157</v>
      </c>
      <c r="B19" s="290">
        <v>0.03</v>
      </c>
      <c r="C19" s="297"/>
      <c r="D19" s="290">
        <v>0.33900000000000002</v>
      </c>
      <c r="E19" s="296"/>
      <c r="F19" s="292">
        <f t="shared" si="0"/>
        <v>1130</v>
      </c>
    </row>
    <row r="20" spans="1:6" ht="14.1" customHeight="1" x14ac:dyDescent="0.2">
      <c r="A20" s="298" t="s">
        <v>158</v>
      </c>
      <c r="B20" s="299">
        <v>23.295000000000002</v>
      </c>
      <c r="C20" s="300"/>
      <c r="D20" s="299">
        <v>31.515999999999998</v>
      </c>
      <c r="E20" s="300"/>
      <c r="F20" s="301">
        <f t="shared" si="0"/>
        <v>135.29083494312081</v>
      </c>
    </row>
    <row r="21" spans="1:6" ht="14.1" customHeight="1" thickBot="1" x14ac:dyDescent="0.25">
      <c r="A21" s="302" t="s">
        <v>159</v>
      </c>
      <c r="B21" s="303">
        <v>0.50700000000000001</v>
      </c>
      <c r="C21" s="304"/>
      <c r="D21" s="303">
        <v>0</v>
      </c>
      <c r="E21" s="304"/>
      <c r="F21" s="305">
        <f t="shared" si="0"/>
        <v>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5" customFormat="1" x14ac:dyDescent="0.25"/>
    <row r="2" spans="1:19" x14ac:dyDescent="0.25">
      <c r="A2" s="158" t="s">
        <v>341</v>
      </c>
      <c r="B2" s="158"/>
      <c r="C2" s="158"/>
      <c r="D2" s="158"/>
      <c r="E2" s="158"/>
      <c r="F2" s="80" t="s">
        <v>399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4.1" customHeight="1" x14ac:dyDescent="0.25">
      <c r="A3" s="120" t="s">
        <v>12</v>
      </c>
      <c r="B3" s="469" t="s">
        <v>548</v>
      </c>
      <c r="C3" s="470" t="s">
        <v>549</v>
      </c>
      <c r="D3" s="470" t="s">
        <v>550</v>
      </c>
      <c r="E3" s="470" t="s">
        <v>547</v>
      </c>
      <c r="F3" s="470" t="s">
        <v>531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4.1" customHeight="1" x14ac:dyDescent="0.25">
      <c r="A4" s="471" t="s">
        <v>143</v>
      </c>
      <c r="B4" s="472">
        <v>40.817</v>
      </c>
      <c r="C4" s="473">
        <v>26.644000000000002</v>
      </c>
      <c r="D4" s="473">
        <v>26.623000000000001</v>
      </c>
      <c r="E4" s="473">
        <v>22.788</v>
      </c>
      <c r="F4" s="473">
        <v>31.515999999999998</v>
      </c>
      <c r="G4" s="15"/>
      <c r="H4" s="15" t="s">
        <v>176</v>
      </c>
      <c r="I4" s="15" t="s">
        <v>172</v>
      </c>
      <c r="J4" s="15"/>
      <c r="K4" s="15"/>
      <c r="L4" s="15"/>
      <c r="M4" s="15"/>
      <c r="N4" s="15"/>
      <c r="O4" s="15"/>
      <c r="P4" s="15"/>
      <c r="Q4" s="15"/>
      <c r="R4" s="15"/>
    </row>
    <row r="5" spans="1:19" ht="14.1" customHeight="1" x14ac:dyDescent="0.25">
      <c r="A5" s="85" t="s">
        <v>141</v>
      </c>
      <c r="B5" s="189">
        <v>6421.9390000000003</v>
      </c>
      <c r="C5" s="117">
        <v>6910.4519999999993</v>
      </c>
      <c r="D5" s="117">
        <v>7603.24</v>
      </c>
      <c r="E5" s="117">
        <v>8020.7359999999999</v>
      </c>
      <c r="F5" s="117">
        <v>8347.0660000000007</v>
      </c>
      <c r="G5" s="15"/>
      <c r="H5" s="15"/>
      <c r="I5" s="15" t="s">
        <v>173</v>
      </c>
      <c r="J5" s="15"/>
      <c r="K5" s="15"/>
      <c r="L5" s="15"/>
      <c r="M5" s="15"/>
      <c r="N5" s="15"/>
      <c r="O5" s="15"/>
      <c r="P5" s="15"/>
      <c r="Q5" s="15"/>
      <c r="R5" s="28"/>
    </row>
    <row r="6" spans="1:19" ht="14.1" customHeight="1" x14ac:dyDescent="0.25">
      <c r="A6" s="85" t="s">
        <v>142</v>
      </c>
      <c r="B6" s="189">
        <v>876.04599999999994</v>
      </c>
      <c r="C6" s="117">
        <v>944.52</v>
      </c>
      <c r="D6" s="117">
        <v>964.20899999999995</v>
      </c>
      <c r="E6" s="117">
        <v>1005.022</v>
      </c>
      <c r="F6" s="117">
        <v>1040.9639999999999</v>
      </c>
      <c r="G6" s="15"/>
      <c r="H6" s="15"/>
      <c r="I6" s="15" t="s">
        <v>174</v>
      </c>
      <c r="J6" s="15"/>
      <c r="K6" s="15"/>
      <c r="L6" s="15"/>
      <c r="M6" s="15"/>
      <c r="N6" s="15"/>
      <c r="O6" s="15"/>
      <c r="P6" s="15"/>
      <c r="Q6" s="15"/>
      <c r="R6" s="15" t="str">
        <f>LEFT(G6)</f>
        <v/>
      </c>
      <c r="S6" s="16"/>
    </row>
    <row r="7" spans="1:19" s="14" customFormat="1" ht="14.1" customHeight="1" x14ac:dyDescent="0.25">
      <c r="A7" s="123" t="s">
        <v>225</v>
      </c>
      <c r="B7" s="474">
        <f>IFERROR(12*B4/LEFT(B3,2)/B$5,0)</f>
        <v>2.5423474125182439E-2</v>
      </c>
      <c r="C7" s="475">
        <f>IFERROR(12*C4/LEFT(C3,2)/C$5,0)</f>
        <v>1.5422435464424037E-2</v>
      </c>
      <c r="D7" s="475">
        <f>IFERROR(12*D4/LEFT(D3,2)/D$5,0)</f>
        <v>1.4006134226987443E-2</v>
      </c>
      <c r="E7" s="475">
        <f>IFERROR(12*E4/LEFT(E3,2)/E$5,0)</f>
        <v>1.1364543104273723E-2</v>
      </c>
      <c r="F7" s="475">
        <f>IFERROR(12*F4/LEFT(F3,2)/F$5,0)</f>
        <v>1.5102791807324873E-2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14" customFormat="1" ht="14.1" customHeight="1" x14ac:dyDescent="0.25">
      <c r="A8" s="123" t="s">
        <v>226</v>
      </c>
      <c r="B8" s="474">
        <f>IFERROR(12*B4/LEFT(B3,2)/B$6,0)</f>
        <v>0.18636920892281914</v>
      </c>
      <c r="C8" s="475">
        <f>IFERROR(12*C4/LEFT(C3,2)/C$6,0)</f>
        <v>0.11283614957862195</v>
      </c>
      <c r="D8" s="475">
        <f>IFERROR(12*D4/LEFT(D3,2)/D$6,0)</f>
        <v>0.11044493465628304</v>
      </c>
      <c r="E8" s="475">
        <f>IFERROR(12*E4/LEFT(E3,2)/E$6,0)</f>
        <v>9.0696522066183616E-2</v>
      </c>
      <c r="F8" s="475">
        <f>IFERROR(12*F4/LEFT(F3,2)/F$6,0)</f>
        <v>0.1211031313282688</v>
      </c>
      <c r="G8" s="15"/>
      <c r="H8" s="15" t="s">
        <v>177</v>
      </c>
      <c r="I8" s="15" t="s">
        <v>172</v>
      </c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s="14" customFormat="1" ht="14.1" customHeight="1" x14ac:dyDescent="0.25">
      <c r="A9" s="85" t="s">
        <v>223</v>
      </c>
      <c r="B9" s="189">
        <v>55.35</v>
      </c>
      <c r="C9" s="117">
        <v>55.723999999999997</v>
      </c>
      <c r="D9" s="117">
        <v>57.347999999999999</v>
      </c>
      <c r="E9" s="117">
        <v>58.213999999999999</v>
      </c>
      <c r="F9" s="117">
        <v>57.927</v>
      </c>
      <c r="G9" s="15"/>
      <c r="H9" s="15"/>
      <c r="I9" s="15" t="s">
        <v>175</v>
      </c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s="14" customFormat="1" ht="14.1" customHeight="1" x14ac:dyDescent="0.25">
      <c r="A10" s="85" t="s">
        <v>520</v>
      </c>
      <c r="B10" s="189">
        <v>53.866</v>
      </c>
      <c r="C10" s="117">
        <v>35.96</v>
      </c>
      <c r="D10" s="117">
        <v>35.640999999999998</v>
      </c>
      <c r="E10" s="117">
        <v>38.445</v>
      </c>
      <c r="F10" s="117">
        <v>44.548999999999999</v>
      </c>
      <c r="G10" s="15"/>
      <c r="H10" s="15"/>
      <c r="I10" s="15" t="s">
        <v>174</v>
      </c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s="14" customFormat="1" ht="14.1" customHeight="1" x14ac:dyDescent="0.25">
      <c r="A11" s="85" t="s">
        <v>224</v>
      </c>
      <c r="B11" s="189">
        <v>5.6719999999999997</v>
      </c>
      <c r="C11" s="117">
        <v>6.7889999999999997</v>
      </c>
      <c r="D11" s="117">
        <v>7.7359999999999998</v>
      </c>
      <c r="E11" s="117">
        <v>8.7050000000000001</v>
      </c>
      <c r="F11" s="117">
        <v>9.3190000000000008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s="16" customFormat="1" ht="14.1" customHeight="1" x14ac:dyDescent="0.25">
      <c r="A12" s="85" t="s">
        <v>168</v>
      </c>
      <c r="B12" s="189">
        <v>50.636000000000003</v>
      </c>
      <c r="C12" s="117">
        <v>51.448</v>
      </c>
      <c r="D12" s="117">
        <v>52.122</v>
      </c>
      <c r="E12" s="117">
        <v>57.889000000000003</v>
      </c>
      <c r="F12" s="117">
        <v>57.320999999999998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9" s="14" customFormat="1" ht="27" customHeight="1" x14ac:dyDescent="0.25">
      <c r="A13" s="85" t="s">
        <v>169</v>
      </c>
      <c r="B13" s="189">
        <f>B9+B10-B11</f>
        <v>103.54400000000001</v>
      </c>
      <c r="C13" s="117">
        <f>C9+C10-C11</f>
        <v>84.894999999999996</v>
      </c>
      <c r="D13" s="117">
        <f t="shared" ref="D13:E13" si="0">D9+D10-D11</f>
        <v>85.253</v>
      </c>
      <c r="E13" s="117">
        <f t="shared" si="0"/>
        <v>87.953999999999994</v>
      </c>
      <c r="F13" s="117">
        <f>F9+F10-F11</f>
        <v>93.156999999999996</v>
      </c>
      <c r="G13" s="15"/>
      <c r="H13" s="15" t="s">
        <v>178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s="14" customFormat="1" ht="14.1" customHeight="1" x14ac:dyDescent="0.25">
      <c r="A14" s="123" t="s">
        <v>170</v>
      </c>
      <c r="B14" s="474">
        <f>IFERROR(12*B9/LEFT(B3,2)/B$5,0)</f>
        <v>3.4475568827421123E-2</v>
      </c>
      <c r="C14" s="475">
        <f>IFERROR(12*C9/LEFT(C3,2)/C$5,0)</f>
        <v>3.2254908940833396E-2</v>
      </c>
      <c r="D14" s="475">
        <f>IFERROR(12*D9/LEFT(D3,2)/D$5,0)</f>
        <v>3.0170295821255147E-2</v>
      </c>
      <c r="E14" s="475">
        <f>IFERROR(12*E9/LEFT(E3,2)/E$5,0)</f>
        <v>2.9031749704765249E-2</v>
      </c>
      <c r="F14" s="475">
        <f>IFERROR(12*F9/LEFT(F3,2)/F$5,0)</f>
        <v>2.7759215034360574E-2</v>
      </c>
      <c r="G14" s="15"/>
      <c r="H14" s="15"/>
      <c r="I14" s="15" t="s">
        <v>172</v>
      </c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4.1" customHeight="1" x14ac:dyDescent="0.25">
      <c r="A15" s="123" t="s">
        <v>171</v>
      </c>
      <c r="B15" s="474">
        <f>IFERROR(12*B10/LEFT(B3,2)/B$5,0)</f>
        <v>3.3551237406646187E-2</v>
      </c>
      <c r="C15" s="475">
        <f>IFERROR(12*C10/LEFT(C3,2)/C$5,0)</f>
        <v>2.0814846843592867E-2</v>
      </c>
      <c r="D15" s="475">
        <f>IFERROR(12*D10/LEFT(D3,2)/D$5,0)</f>
        <v>1.8750427449350539E-2</v>
      </c>
      <c r="E15" s="475">
        <f>IFERROR(12*E10/LEFT(E3,2)/E$5,0)</f>
        <v>1.917280409179407E-2</v>
      </c>
      <c r="F15" s="475">
        <f>IFERROR(12*F10/LEFT(F3,2)/F$5,0)</f>
        <v>2.1348339644133636E-2</v>
      </c>
      <c r="G15" s="15"/>
      <c r="H15" s="15"/>
      <c r="I15" s="15" t="s">
        <v>179</v>
      </c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40.5" customHeight="1" thickBot="1" x14ac:dyDescent="0.3">
      <c r="A16" s="476" t="s">
        <v>183</v>
      </c>
      <c r="B16" s="477">
        <f>IF(B13&lt;&gt;0,B12/B13,0)</f>
        <v>0.48902881866646059</v>
      </c>
      <c r="C16" s="478">
        <f t="shared" ref="C16:E16" si="1">IF(C13&lt;&gt;0,C12/C13,0)</f>
        <v>0.60601920018846811</v>
      </c>
      <c r="D16" s="478">
        <f t="shared" si="1"/>
        <v>0.61138024468347152</v>
      </c>
      <c r="E16" s="478">
        <f t="shared" si="1"/>
        <v>0.65817359074061454</v>
      </c>
      <c r="F16" s="478">
        <f>IF(F13&lt;&gt;0,F12/F13,0)</f>
        <v>0.6153160793069764</v>
      </c>
      <c r="G16" s="15"/>
      <c r="H16" s="15"/>
      <c r="I16" s="15" t="s">
        <v>174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23" x14ac:dyDescent="0.25">
      <c r="A17" s="5"/>
      <c r="B17" s="5"/>
      <c r="C17" s="5"/>
      <c r="D17" s="5"/>
      <c r="E17" s="5"/>
      <c r="F17" s="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3" x14ac:dyDescent="0.25">
      <c r="A18" s="159" t="s">
        <v>165</v>
      </c>
      <c r="B18" s="159"/>
      <c r="C18" s="5"/>
      <c r="D18" s="5"/>
      <c r="E18" s="5"/>
      <c r="F18" s="5"/>
      <c r="G18" s="5"/>
      <c r="H18" s="15" t="s">
        <v>180</v>
      </c>
    </row>
    <row r="19" spans="1:23" x14ac:dyDescent="0.25">
      <c r="A19" s="159"/>
      <c r="B19" s="159"/>
      <c r="C19" s="159"/>
      <c r="D19" s="159"/>
      <c r="E19" s="159"/>
      <c r="F19" s="159"/>
      <c r="G19" s="159"/>
      <c r="H19" s="159"/>
      <c r="I19" s="159" t="s">
        <v>172</v>
      </c>
      <c r="J19" s="159"/>
      <c r="K19" s="159"/>
      <c r="L19" s="159"/>
      <c r="M19" s="159"/>
      <c r="N19" s="159"/>
      <c r="O19" s="159"/>
      <c r="P19" s="159"/>
      <c r="Q19" s="159"/>
      <c r="R19" s="159"/>
      <c r="W19" s="15"/>
    </row>
    <row r="20" spans="1:23" hidden="1" x14ac:dyDescent="0.25">
      <c r="A20" s="159"/>
      <c r="B20" s="159"/>
      <c r="C20" s="159"/>
      <c r="D20" s="159"/>
      <c r="E20" s="159"/>
      <c r="F20" s="159"/>
      <c r="G20" s="159"/>
      <c r="H20" s="159"/>
      <c r="I20" s="159" t="s">
        <v>181</v>
      </c>
      <c r="J20" s="159"/>
      <c r="K20" s="159"/>
      <c r="L20" s="159"/>
      <c r="M20" s="159"/>
      <c r="N20" s="159"/>
      <c r="O20" s="159"/>
      <c r="P20" s="159"/>
      <c r="Q20" s="159"/>
      <c r="R20" s="159"/>
      <c r="W20" s="15"/>
    </row>
    <row r="21" spans="1:23" s="15" customFormat="1" ht="14.1" hidden="1" customHeight="1" x14ac:dyDescent="0.25">
      <c r="A21" s="159" t="s">
        <v>12</v>
      </c>
      <c r="B21" s="159" t="s">
        <v>162</v>
      </c>
      <c r="C21" s="159" t="s">
        <v>163</v>
      </c>
      <c r="D21" s="159" t="s">
        <v>164</v>
      </c>
      <c r="E21" s="159" t="s">
        <v>160</v>
      </c>
      <c r="F21" s="159" t="s">
        <v>134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1:23" s="15" customFormat="1" ht="14.1" hidden="1" customHeight="1" x14ac:dyDescent="0.25">
      <c r="A22" s="159" t="s">
        <v>143</v>
      </c>
      <c r="B22" s="159">
        <v>36308</v>
      </c>
      <c r="C22" s="159">
        <v>31556</v>
      </c>
      <c r="D22" s="159">
        <v>63545</v>
      </c>
      <c r="E22" s="159">
        <v>50949</v>
      </c>
      <c r="F22" s="159">
        <v>50938</v>
      </c>
      <c r="G22" s="159"/>
      <c r="H22" s="159" t="s">
        <v>176</v>
      </c>
      <c r="I22" s="159" t="s">
        <v>172</v>
      </c>
      <c r="J22" s="159"/>
      <c r="K22" s="159"/>
      <c r="L22" s="159"/>
      <c r="M22" s="159"/>
      <c r="N22" s="159"/>
      <c r="O22" s="159"/>
      <c r="P22" s="159"/>
      <c r="Q22" s="159"/>
      <c r="R22" s="159"/>
    </row>
    <row r="23" spans="1:23" s="15" customFormat="1" ht="14.1" hidden="1" customHeight="1" x14ac:dyDescent="0.25">
      <c r="A23" s="159" t="s">
        <v>141</v>
      </c>
      <c r="B23" s="159">
        <v>6371203</v>
      </c>
      <c r="C23" s="159">
        <v>6275564</v>
      </c>
      <c r="D23" s="159">
        <v>6453791</v>
      </c>
      <c r="E23" s="159">
        <v>6994007</v>
      </c>
      <c r="F23" s="159">
        <v>7641234</v>
      </c>
      <c r="G23" s="159"/>
      <c r="H23" s="159"/>
      <c r="I23" s="159" t="s">
        <v>173</v>
      </c>
      <c r="J23" s="159"/>
      <c r="K23" s="159"/>
      <c r="L23" s="159"/>
      <c r="M23" s="159"/>
      <c r="N23" s="159"/>
      <c r="O23" s="159"/>
      <c r="P23" s="159"/>
      <c r="Q23" s="159"/>
      <c r="R23" s="159"/>
    </row>
    <row r="24" spans="1:23" s="15" customFormat="1" ht="14.1" hidden="1" customHeight="1" x14ac:dyDescent="0.25">
      <c r="A24" s="159" t="s">
        <v>142</v>
      </c>
      <c r="B24" s="159">
        <v>815586</v>
      </c>
      <c r="C24" s="159">
        <v>861932</v>
      </c>
      <c r="D24" s="159">
        <v>891789</v>
      </c>
      <c r="E24" s="159">
        <v>948309</v>
      </c>
      <c r="F24" s="159">
        <v>970095</v>
      </c>
      <c r="G24" s="159"/>
      <c r="H24" s="159"/>
      <c r="I24" s="159" t="s">
        <v>174</v>
      </c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23" s="16" customFormat="1" ht="14.1" hidden="1" customHeight="1" x14ac:dyDescent="0.25">
      <c r="A25" s="159" t="s">
        <v>131</v>
      </c>
      <c r="B25" s="159">
        <v>1.1397533558419029E-2</v>
      </c>
      <c r="C25" s="159">
        <v>1.0056785334354012E-2</v>
      </c>
      <c r="D25" s="159">
        <v>1.9692301780457409E-2</v>
      </c>
      <c r="E25" s="159">
        <v>1.4569330571158993E-2</v>
      </c>
      <c r="F25" s="159">
        <v>1.3332401546661181E-2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W25" s="15"/>
    </row>
    <row r="26" spans="1:23" s="16" customFormat="1" ht="14.1" hidden="1" customHeight="1" x14ac:dyDescent="0.25">
      <c r="A26" s="159" t="s">
        <v>132</v>
      </c>
      <c r="B26" s="159">
        <v>8.9035368434475334E-2</v>
      </c>
      <c r="C26" s="159">
        <v>7.3221553440410606E-2</v>
      </c>
      <c r="D26" s="159">
        <v>0.14251128910538255</v>
      </c>
      <c r="E26" s="159">
        <v>0.10745231775718674</v>
      </c>
      <c r="F26" s="159">
        <v>0.10501651900071643</v>
      </c>
      <c r="G26" s="159"/>
      <c r="H26" s="159" t="s">
        <v>177</v>
      </c>
      <c r="I26" s="159" t="s">
        <v>172</v>
      </c>
      <c r="J26" s="159"/>
      <c r="K26" s="159"/>
      <c r="L26" s="159"/>
      <c r="M26" s="159"/>
      <c r="N26" s="159"/>
      <c r="O26" s="159"/>
      <c r="P26" s="159"/>
      <c r="Q26" s="159"/>
      <c r="R26" s="159"/>
      <c r="W26" s="15"/>
    </row>
    <row r="27" spans="1:23" s="16" customFormat="1" ht="14.1" hidden="1" customHeight="1" x14ac:dyDescent="0.25">
      <c r="A27" s="159" t="s">
        <v>166</v>
      </c>
      <c r="B27" s="159">
        <v>104092</v>
      </c>
      <c r="C27" s="159">
        <v>106461</v>
      </c>
      <c r="D27" s="159">
        <v>111279</v>
      </c>
      <c r="E27" s="159">
        <v>113192</v>
      </c>
      <c r="F27" s="159">
        <v>115451</v>
      </c>
      <c r="G27" s="159"/>
      <c r="H27" s="159"/>
      <c r="I27" s="159" t="s">
        <v>175</v>
      </c>
      <c r="J27" s="159"/>
      <c r="K27" s="159"/>
      <c r="L27" s="159"/>
      <c r="M27" s="159"/>
      <c r="N27" s="159"/>
      <c r="O27" s="159"/>
      <c r="P27" s="159"/>
      <c r="Q27" s="159"/>
      <c r="R27" s="159"/>
      <c r="W27" s="15"/>
    </row>
    <row r="28" spans="1:23" s="16" customFormat="1" ht="14.1" hidden="1" customHeight="1" x14ac:dyDescent="0.25">
      <c r="A28" s="159" t="s">
        <v>167</v>
      </c>
      <c r="B28" s="159">
        <v>76829</v>
      </c>
      <c r="C28" s="159">
        <v>71289</v>
      </c>
      <c r="D28" s="159">
        <v>93772</v>
      </c>
      <c r="E28" s="159">
        <v>75961</v>
      </c>
      <c r="F28" s="159">
        <v>76178</v>
      </c>
      <c r="G28" s="159"/>
      <c r="H28" s="159"/>
      <c r="I28" s="159" t="s">
        <v>174</v>
      </c>
      <c r="J28" s="159"/>
      <c r="K28" s="159"/>
      <c r="L28" s="159"/>
      <c r="M28" s="159"/>
      <c r="N28" s="159"/>
      <c r="O28" s="159"/>
      <c r="P28" s="159"/>
      <c r="Q28" s="159"/>
      <c r="R28" s="159"/>
      <c r="W28" s="15"/>
    </row>
    <row r="29" spans="1:23" s="16" customFormat="1" ht="14.1" hidden="1" customHeight="1" x14ac:dyDescent="0.25">
      <c r="A29" s="159" t="s">
        <v>168</v>
      </c>
      <c r="B29" s="159">
        <v>108599</v>
      </c>
      <c r="C29" s="159">
        <v>114267</v>
      </c>
      <c r="D29" s="159">
        <v>104818</v>
      </c>
      <c r="E29" s="159">
        <v>106832</v>
      </c>
      <c r="F29" s="159">
        <v>108252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W29" s="15"/>
    </row>
    <row r="30" spans="1:23" s="16" customFormat="1" ht="27" hidden="1" customHeight="1" x14ac:dyDescent="0.25">
      <c r="A30" s="159" t="s">
        <v>169</v>
      </c>
      <c r="B30" s="159">
        <v>169937</v>
      </c>
      <c r="C30" s="159">
        <v>166570</v>
      </c>
      <c r="D30" s="159">
        <v>192785</v>
      </c>
      <c r="E30" s="159">
        <v>174890</v>
      </c>
      <c r="F30" s="159">
        <v>175069</v>
      </c>
      <c r="G30" s="159"/>
      <c r="H30" s="159" t="s">
        <v>178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W30" s="15"/>
    </row>
    <row r="31" spans="1:23" s="16" customFormat="1" ht="14.1" hidden="1" customHeight="1" x14ac:dyDescent="0.25">
      <c r="A31" s="159" t="s">
        <v>170</v>
      </c>
      <c r="B31" s="159">
        <v>3.2675775673762085E-2</v>
      </c>
      <c r="C31" s="159">
        <v>3.3928743297016811E-2</v>
      </c>
      <c r="D31" s="159">
        <v>3.4484847742977734E-2</v>
      </c>
      <c r="E31" s="159">
        <v>3.2368283303119368E-2</v>
      </c>
      <c r="F31" s="159">
        <v>3.0217894125477637E-2</v>
      </c>
      <c r="G31" s="159"/>
      <c r="H31" s="159"/>
      <c r="I31" s="159" t="s">
        <v>172</v>
      </c>
      <c r="J31" s="159"/>
      <c r="K31" s="159"/>
      <c r="L31" s="159"/>
      <c r="M31" s="159"/>
      <c r="N31" s="159"/>
      <c r="O31" s="159"/>
      <c r="P31" s="159"/>
      <c r="Q31" s="159"/>
      <c r="R31" s="159"/>
    </row>
    <row r="32" spans="1:23" s="15" customFormat="1" ht="14.1" hidden="1" customHeight="1" x14ac:dyDescent="0.25">
      <c r="A32" s="159" t="s">
        <v>171</v>
      </c>
      <c r="B32" s="159">
        <v>2.4117580306262411E-2</v>
      </c>
      <c r="C32" s="159">
        <v>2.2719551581339939E-2</v>
      </c>
      <c r="D32" s="159">
        <v>2.9059509364341051E-2</v>
      </c>
      <c r="E32" s="159">
        <v>2.1721739769491225E-2</v>
      </c>
      <c r="F32" s="159">
        <v>1.9938664357092063E-2</v>
      </c>
      <c r="G32" s="159"/>
      <c r="H32" s="159"/>
      <c r="I32" s="159" t="s">
        <v>179</v>
      </c>
      <c r="J32" s="159"/>
      <c r="K32" s="159"/>
      <c r="L32" s="159"/>
      <c r="M32" s="159"/>
      <c r="N32" s="159"/>
      <c r="O32" s="159"/>
      <c r="P32" s="159"/>
      <c r="Q32" s="159"/>
      <c r="R32" s="159"/>
    </row>
    <row r="33" spans="1:18" s="15" customFormat="1" ht="40.5" hidden="1" customHeight="1" thickBot="1" x14ac:dyDescent="0.3">
      <c r="A33" s="159" t="s">
        <v>183</v>
      </c>
      <c r="B33" s="159">
        <v>0.6390544731282769</v>
      </c>
      <c r="C33" s="159">
        <v>0.6859998799303596</v>
      </c>
      <c r="D33" s="159">
        <v>0.5437041263583785</v>
      </c>
      <c r="E33" s="159">
        <v>0.61085253587969579</v>
      </c>
      <c r="F33" s="159">
        <v>0.61833905488693031</v>
      </c>
      <c r="G33" s="159"/>
      <c r="H33" s="159"/>
      <c r="I33" s="159" t="s">
        <v>174</v>
      </c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ht="45" hidden="1" customHeight="1" x14ac:dyDescent="0.25">
      <c r="A34" s="159"/>
      <c r="B34" s="159" t="s">
        <v>214</v>
      </c>
      <c r="C34" s="159"/>
      <c r="D34" s="159"/>
      <c r="E34" s="159"/>
      <c r="F34" s="159"/>
      <c r="G34" s="159"/>
      <c r="H34" s="159"/>
      <c r="I34" s="159" t="s">
        <v>182</v>
      </c>
      <c r="J34" s="159"/>
      <c r="K34" s="159"/>
      <c r="L34" s="159"/>
      <c r="M34" s="159"/>
      <c r="N34" s="159"/>
      <c r="O34" s="159"/>
      <c r="P34" s="159"/>
      <c r="Q34" s="159"/>
      <c r="R34" s="159"/>
    </row>
    <row r="35" spans="1:18" x14ac:dyDescent="0.25">
      <c r="A35" s="159"/>
      <c r="B35" s="159"/>
      <c r="C35" s="159"/>
      <c r="D35" s="159"/>
      <c r="E35" s="159"/>
      <c r="F35" s="159"/>
      <c r="G35" s="159"/>
      <c r="H35" s="159"/>
      <c r="I35" s="159" t="s">
        <v>174</v>
      </c>
      <c r="J35" s="159"/>
      <c r="K35" s="159"/>
      <c r="L35" s="159"/>
      <c r="M35" s="159"/>
      <c r="N35" s="159"/>
      <c r="O35" s="159"/>
      <c r="P35" s="159"/>
      <c r="Q35" s="159"/>
      <c r="R35" s="159"/>
    </row>
    <row r="36" spans="1:18" x14ac:dyDescent="0.25">
      <c r="B36" s="15"/>
      <c r="I36" s="15"/>
    </row>
    <row r="37" spans="1:18" x14ac:dyDescent="0.2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</row>
    <row r="38" spans="1:18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</row>
    <row r="39" spans="1:18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2" customWidth="1"/>
    <col min="2" max="2" width="7.5703125" style="44" customWidth="1"/>
    <col min="3" max="3" width="6.28515625" style="44" customWidth="1"/>
    <col min="4" max="4" width="7.5703125" style="44" bestFit="1" customWidth="1"/>
    <col min="5" max="5" width="7.5703125" style="44" customWidth="1"/>
    <col min="6" max="6" width="6.28515625" style="44" customWidth="1"/>
    <col min="7" max="7" width="7.5703125" style="44" bestFit="1" customWidth="1"/>
    <col min="8" max="8" width="7.5703125" style="44" customWidth="1"/>
    <col min="9" max="9" width="6.28515625" style="44" customWidth="1"/>
    <col min="10" max="10" width="7.5703125" style="44" bestFit="1" customWidth="1"/>
    <col min="11" max="11" width="9.140625" style="33"/>
    <col min="12" max="12" width="10.140625" style="33" bestFit="1" customWidth="1"/>
    <col min="13" max="13" width="14.5703125" style="33" customWidth="1"/>
    <col min="14" max="14" width="12.5703125" style="33" customWidth="1"/>
    <col min="15" max="15" width="11.7109375" style="33" bestFit="1" customWidth="1"/>
    <col min="16" max="16384" width="9.140625" style="33"/>
  </cols>
  <sheetData>
    <row r="1" spans="1:11" s="44" customFormat="1" hidden="1" x14ac:dyDescent="0.25">
      <c r="A1" s="156"/>
      <c r="B1" s="29"/>
      <c r="C1" s="29"/>
      <c r="D1" s="29"/>
      <c r="E1" s="29"/>
      <c r="F1" s="29"/>
      <c r="G1" s="47"/>
    </row>
    <row r="2" spans="1:11" hidden="1" x14ac:dyDescent="0.25">
      <c r="A2" s="202"/>
      <c r="B2" s="227"/>
      <c r="C2" s="227"/>
      <c r="D2" s="227"/>
      <c r="E2" s="227"/>
      <c r="F2" s="227"/>
    </row>
    <row r="4" spans="1:11" x14ac:dyDescent="0.25">
      <c r="A4" s="321" t="s">
        <v>342</v>
      </c>
      <c r="B4" s="321"/>
      <c r="C4" s="321"/>
      <c r="D4" s="321"/>
      <c r="E4" s="321"/>
      <c r="F4" s="321"/>
      <c r="G4" s="321"/>
      <c r="H4" s="321"/>
      <c r="I4" s="321"/>
      <c r="J4" s="80" t="s">
        <v>399</v>
      </c>
    </row>
    <row r="5" spans="1:11" x14ac:dyDescent="0.25">
      <c r="A5" s="830" t="s">
        <v>435</v>
      </c>
      <c r="B5" s="827" t="s">
        <v>529</v>
      </c>
      <c r="C5" s="828"/>
      <c r="D5" s="829"/>
      <c r="E5" s="827" t="s">
        <v>530</v>
      </c>
      <c r="F5" s="828"/>
      <c r="G5" s="829"/>
      <c r="H5" s="827" t="s">
        <v>531</v>
      </c>
      <c r="I5" s="828"/>
      <c r="J5" s="828"/>
    </row>
    <row r="6" spans="1:11" ht="22.5" x14ac:dyDescent="0.25">
      <c r="A6" s="831"/>
      <c r="B6" s="308" t="s">
        <v>2</v>
      </c>
      <c r="C6" s="309" t="s">
        <v>243</v>
      </c>
      <c r="D6" s="322" t="s">
        <v>273</v>
      </c>
      <c r="E6" s="308" t="s">
        <v>2</v>
      </c>
      <c r="F6" s="309" t="s">
        <v>243</v>
      </c>
      <c r="G6" s="322" t="s">
        <v>273</v>
      </c>
      <c r="H6" s="310" t="s">
        <v>2</v>
      </c>
      <c r="I6" s="309" t="s">
        <v>243</v>
      </c>
      <c r="J6" s="309" t="s">
        <v>273</v>
      </c>
    </row>
    <row r="7" spans="1:11" x14ac:dyDescent="0.25">
      <c r="A7" s="311" t="s">
        <v>137</v>
      </c>
      <c r="B7" s="623">
        <f>B8+B17</f>
        <v>9502.259</v>
      </c>
      <c r="C7" s="624">
        <f>C8+C17</f>
        <v>422.84399999999999</v>
      </c>
      <c r="D7" s="625">
        <f>IFERROR(C7*100/B7,0)</f>
        <v>4.449931326856067</v>
      </c>
      <c r="E7" s="623">
        <f>E8+E17</f>
        <v>9773.3060000000005</v>
      </c>
      <c r="F7" s="624">
        <f>F8+F17</f>
        <v>391.84899999999999</v>
      </c>
      <c r="G7" s="625">
        <f>IFERROR(F7*100/E7,0)</f>
        <v>4.0093802445150084</v>
      </c>
      <c r="H7" s="624">
        <f>H8+H17</f>
        <v>9870.7869999999984</v>
      </c>
      <c r="I7" s="624">
        <f>I8+I17</f>
        <v>386.78399999999999</v>
      </c>
      <c r="J7" s="626">
        <f>IFERROR(I7*100/H7,0)</f>
        <v>3.9184717490104899</v>
      </c>
    </row>
    <row r="8" spans="1:11" x14ac:dyDescent="0.25">
      <c r="A8" s="312" t="s">
        <v>274</v>
      </c>
      <c r="B8" s="615">
        <f>+B9+B14+B15+B16</f>
        <v>8438.4940000000006</v>
      </c>
      <c r="C8" s="616">
        <f>SUM(C10:C16)</f>
        <v>414.524</v>
      </c>
      <c r="D8" s="618">
        <f>IFERROR(C8*100/B8,0)</f>
        <v>4.9122983319061433</v>
      </c>
      <c r="E8" s="615">
        <f>+E9+E14+E15+E16</f>
        <v>8644.0220000000008</v>
      </c>
      <c r="F8" s="616">
        <f>SUM(F10:F16)</f>
        <v>380.62599999999998</v>
      </c>
      <c r="G8" s="618">
        <f>IFERROR(F8*100/E8,0)</f>
        <v>4.4033437212445774</v>
      </c>
      <c r="H8" s="627">
        <f>+H9+H14+H15+H16</f>
        <v>8755.1299999999992</v>
      </c>
      <c r="I8" s="616">
        <f>SUM(I10:I16)</f>
        <v>374.83100000000002</v>
      </c>
      <c r="J8" s="617">
        <f>IFERROR(I8*100/H8,0)</f>
        <v>4.2812728080565341</v>
      </c>
    </row>
    <row r="9" spans="1:11" s="43" customFormat="1" ht="22.5" x14ac:dyDescent="0.25">
      <c r="A9" s="313" t="s">
        <v>275</v>
      </c>
      <c r="B9" s="619">
        <f>+B10+B11+B12+B13</f>
        <v>7447.398000000001</v>
      </c>
      <c r="C9" s="628">
        <f>+C10+C11+C12+C13</f>
        <v>399.10599999999999</v>
      </c>
      <c r="D9" s="620">
        <f>IFERROR(C9*100/B9,0)</f>
        <v>5.3589992101939483</v>
      </c>
      <c r="E9" s="619">
        <f>+E10+E11+E12+E13</f>
        <v>7514.2619999999997</v>
      </c>
      <c r="F9" s="628">
        <f>+F10+F11+F12+F13</f>
        <v>374.005</v>
      </c>
      <c r="G9" s="620">
        <f>IFERROR(F9*100/E9,0)</f>
        <v>4.9772685594407013</v>
      </c>
      <c r="H9" s="629">
        <f>+H10+H11+H12+H13</f>
        <v>7572.5430000000006</v>
      </c>
      <c r="I9" s="628">
        <f>+I10+I11+I12+I13</f>
        <v>368.291</v>
      </c>
      <c r="J9" s="679">
        <f>IFERROR(I9*100/H9,0)</f>
        <v>4.8635049018539735</v>
      </c>
    </row>
    <row r="10" spans="1:11" s="43" customFormat="1" ht="24.75" customHeight="1" x14ac:dyDescent="0.25">
      <c r="A10" s="314" t="s">
        <v>390</v>
      </c>
      <c r="B10" s="630">
        <v>1927.4059999999999</v>
      </c>
      <c r="C10" s="631">
        <v>1.181</v>
      </c>
      <c r="D10" s="632">
        <f>IFERROR(C10*100/B10,0)</f>
        <v>6.1274064727410836E-2</v>
      </c>
      <c r="E10" s="630">
        <v>1965.039</v>
      </c>
      <c r="F10" s="631">
        <v>3.2730000000000001</v>
      </c>
      <c r="G10" s="632">
        <f>IFERROR(F10*100/E10,0)</f>
        <v>0.16656157969383814</v>
      </c>
      <c r="H10" s="633">
        <v>1980.7280000000001</v>
      </c>
      <c r="I10" s="631">
        <v>3.569</v>
      </c>
      <c r="J10" s="680">
        <f>IFERROR(I10*100/H10,0)</f>
        <v>0.18018627494537359</v>
      </c>
    </row>
    <row r="11" spans="1:11" s="43" customFormat="1" x14ac:dyDescent="0.25">
      <c r="A11" s="314" t="s">
        <v>276</v>
      </c>
      <c r="B11" s="630">
        <v>10.461</v>
      </c>
      <c r="C11" s="631">
        <v>7.0000000000000001E-3</v>
      </c>
      <c r="D11" s="632">
        <f t="shared" ref="D11:D12" si="0">IFERROR(C11*100/B11,0)</f>
        <v>6.6915208871044837E-2</v>
      </c>
      <c r="E11" s="630">
        <v>21.193000000000001</v>
      </c>
      <c r="F11" s="631">
        <v>2.1000000000000001E-2</v>
      </c>
      <c r="G11" s="632">
        <f t="shared" ref="G11:G13" si="1">IFERROR(F11*100/E11,0)</f>
        <v>9.908932194592554E-2</v>
      </c>
      <c r="H11" s="633">
        <v>31.198</v>
      </c>
      <c r="I11" s="631">
        <v>3.1E-2</v>
      </c>
      <c r="J11" s="680">
        <f t="shared" ref="J11:J13" si="2">IFERROR(I11*100/H11,0)</f>
        <v>9.9365343932303354E-2</v>
      </c>
    </row>
    <row r="12" spans="1:11" s="43" customFormat="1" x14ac:dyDescent="0.25">
      <c r="A12" s="314" t="s">
        <v>277</v>
      </c>
      <c r="B12" s="630">
        <v>5461.1940000000004</v>
      </c>
      <c r="C12" s="631">
        <v>375.96600000000001</v>
      </c>
      <c r="D12" s="632">
        <f t="shared" si="0"/>
        <v>6.8843187039317764</v>
      </c>
      <c r="E12" s="630">
        <v>5492.4269999999997</v>
      </c>
      <c r="F12" s="631">
        <v>357.43299999999999</v>
      </c>
      <c r="G12" s="632">
        <f t="shared" si="1"/>
        <v>6.5077423878369265</v>
      </c>
      <c r="H12" s="633">
        <v>5525.0910000000003</v>
      </c>
      <c r="I12" s="631">
        <v>352.03199999999998</v>
      </c>
      <c r="J12" s="680">
        <f t="shared" si="2"/>
        <v>6.3715149669028071</v>
      </c>
    </row>
    <row r="13" spans="1:11" s="43" customFormat="1" x14ac:dyDescent="0.25">
      <c r="A13" s="314" t="s">
        <v>278</v>
      </c>
      <c r="B13" s="630">
        <v>48.337000000000003</v>
      </c>
      <c r="C13" s="631">
        <v>21.952000000000002</v>
      </c>
      <c r="D13" s="632">
        <f>IFERROR(C13*100/B13,0)</f>
        <v>45.414485797629148</v>
      </c>
      <c r="E13" s="630">
        <v>35.603000000000002</v>
      </c>
      <c r="F13" s="631">
        <v>13.278</v>
      </c>
      <c r="G13" s="632">
        <f t="shared" si="1"/>
        <v>37.294610004774874</v>
      </c>
      <c r="H13" s="633">
        <v>35.526000000000003</v>
      </c>
      <c r="I13" s="631">
        <v>12.659000000000001</v>
      </c>
      <c r="J13" s="680">
        <f t="shared" si="2"/>
        <v>35.633057479029439</v>
      </c>
    </row>
    <row r="14" spans="1:11" s="198" customFormat="1" ht="22.5" x14ac:dyDescent="0.2">
      <c r="A14" s="313" t="s">
        <v>279</v>
      </c>
      <c r="B14" s="619">
        <v>13.28</v>
      </c>
      <c r="C14" s="628">
        <v>0</v>
      </c>
      <c r="D14" s="620"/>
      <c r="E14" s="619">
        <v>13.21</v>
      </c>
      <c r="F14" s="628">
        <v>0</v>
      </c>
      <c r="G14" s="620"/>
      <c r="H14" s="629">
        <v>13.3</v>
      </c>
      <c r="I14" s="628">
        <v>0</v>
      </c>
      <c r="J14" s="679"/>
      <c r="K14" s="319"/>
    </row>
    <row r="15" spans="1:11" s="198" customFormat="1" ht="33.75" x14ac:dyDescent="0.25">
      <c r="A15" s="313" t="s">
        <v>486</v>
      </c>
      <c r="B15" s="619">
        <v>918.24300000000005</v>
      </c>
      <c r="C15" s="628">
        <v>0</v>
      </c>
      <c r="D15" s="620"/>
      <c r="E15" s="619">
        <v>1050.4960000000001</v>
      </c>
      <c r="F15" s="628">
        <v>0</v>
      </c>
      <c r="G15" s="620"/>
      <c r="H15" s="629">
        <v>1115.095</v>
      </c>
      <c r="I15" s="628">
        <v>0</v>
      </c>
      <c r="J15" s="679"/>
      <c r="K15" s="43"/>
    </row>
    <row r="16" spans="1:11" s="198" customFormat="1" x14ac:dyDescent="0.25">
      <c r="A16" s="315" t="s">
        <v>280</v>
      </c>
      <c r="B16" s="634">
        <v>59.573</v>
      </c>
      <c r="C16" s="328">
        <v>15.417999999999999</v>
      </c>
      <c r="D16" s="635">
        <f>IFERROR(C16*100/B16,0)</f>
        <v>25.88085206385443</v>
      </c>
      <c r="E16" s="634">
        <v>66.054000000000002</v>
      </c>
      <c r="F16" s="328">
        <v>6.6210000000000004</v>
      </c>
      <c r="G16" s="635">
        <f>IFERROR(F16*100/E16,0)</f>
        <v>10.023617040603144</v>
      </c>
      <c r="H16" s="636">
        <v>54.192</v>
      </c>
      <c r="I16" s="328">
        <v>6.54</v>
      </c>
      <c r="J16" s="329">
        <f>IFERROR(I16*100/H16,0)</f>
        <v>12.068201948627104</v>
      </c>
      <c r="K16" s="43"/>
    </row>
    <row r="17" spans="1:15" s="43" customFormat="1" x14ac:dyDescent="0.25">
      <c r="A17" s="316" t="s">
        <v>281</v>
      </c>
      <c r="B17" s="637">
        <f>SUM(B18:B21)</f>
        <v>1063.7650000000001</v>
      </c>
      <c r="C17" s="638">
        <f>SUM(C18:C21)</f>
        <v>8.32</v>
      </c>
      <c r="D17" s="639">
        <f>IFERROR(C17*100/B17,0)</f>
        <v>0.78212763157276266</v>
      </c>
      <c r="E17" s="637">
        <f t="shared" ref="E17:I17" si="3">SUM(E18:E21)</f>
        <v>1129.2840000000001</v>
      </c>
      <c r="F17" s="638">
        <f t="shared" si="3"/>
        <v>11.223000000000001</v>
      </c>
      <c r="G17" s="639">
        <f>IFERROR(F17*100/E17,0)</f>
        <v>0.99381555038413727</v>
      </c>
      <c r="H17" s="640">
        <f t="shared" si="3"/>
        <v>1115.6569999999999</v>
      </c>
      <c r="I17" s="638">
        <f t="shared" si="3"/>
        <v>11.952999999999999</v>
      </c>
      <c r="J17" s="609">
        <f>IFERROR(I17*100/H17,0)</f>
        <v>1.0713866358567194</v>
      </c>
    </row>
    <row r="18" spans="1:15" s="43" customFormat="1" x14ac:dyDescent="0.25">
      <c r="A18" s="313" t="s">
        <v>282</v>
      </c>
      <c r="B18" s="641">
        <v>508.11799999999999</v>
      </c>
      <c r="C18" s="642">
        <v>4.25</v>
      </c>
      <c r="D18" s="620">
        <f>IFERROR(C18*100/B18,0)</f>
        <v>0.83641988671922662</v>
      </c>
      <c r="E18" s="641">
        <v>514.73500000000001</v>
      </c>
      <c r="F18" s="642">
        <v>5.2439999999999998</v>
      </c>
      <c r="G18" s="620">
        <f>IFERROR(F18*100/E18,0)</f>
        <v>1.0187766520636832</v>
      </c>
      <c r="H18" s="643">
        <v>508.90499999999997</v>
      </c>
      <c r="I18" s="642">
        <v>5.1120000000000001</v>
      </c>
      <c r="J18" s="679">
        <f>IFERROR(I18*100/H18,0)</f>
        <v>1.0045096825537183</v>
      </c>
      <c r="K18" s="320"/>
    </row>
    <row r="19" spans="1:15" ht="15" customHeight="1" x14ac:dyDescent="0.25">
      <c r="A19" s="313" t="s">
        <v>283</v>
      </c>
      <c r="B19" s="641">
        <v>4.3659999999999997</v>
      </c>
      <c r="C19" s="642">
        <v>5.1999999999999998E-2</v>
      </c>
      <c r="D19" s="620">
        <f t="shared" ref="D19:D21" si="4">IFERROR(C19*100/B19,0)</f>
        <v>1.191021530004581</v>
      </c>
      <c r="E19" s="641">
        <v>2.7269999999999999</v>
      </c>
      <c r="F19" s="642">
        <v>1.2999999999999999E-2</v>
      </c>
      <c r="G19" s="620">
        <f t="shared" ref="G19:G21" si="5">IFERROR(F19*100/E19,0)</f>
        <v>0.47671433810047675</v>
      </c>
      <c r="H19" s="643">
        <v>0.83799999999999997</v>
      </c>
      <c r="I19" s="642">
        <v>3.0000000000000001E-3</v>
      </c>
      <c r="J19" s="679">
        <f t="shared" ref="J19:J21" si="6">IFERROR(I19*100/H19,0)</f>
        <v>0.35799522673031026</v>
      </c>
      <c r="K19" s="39"/>
    </row>
    <row r="20" spans="1:15" ht="22.5" x14ac:dyDescent="0.25">
      <c r="A20" s="317" t="s">
        <v>284</v>
      </c>
      <c r="B20" s="644">
        <v>550.79100000000005</v>
      </c>
      <c r="C20" s="645">
        <v>4.016</v>
      </c>
      <c r="D20" s="620">
        <f t="shared" si="4"/>
        <v>0.72913319208193306</v>
      </c>
      <c r="E20" s="644">
        <v>610.50699999999995</v>
      </c>
      <c r="F20" s="645">
        <v>5.9530000000000003</v>
      </c>
      <c r="G20" s="620">
        <f t="shared" si="5"/>
        <v>0.9750911946955565</v>
      </c>
      <c r="H20" s="646">
        <v>604.94899999999996</v>
      </c>
      <c r="I20" s="645">
        <v>6.83</v>
      </c>
      <c r="J20" s="679">
        <f t="shared" si="6"/>
        <v>1.1290207934883767</v>
      </c>
      <c r="K20" s="39"/>
    </row>
    <row r="21" spans="1:15" ht="15.75" thickBot="1" x14ac:dyDescent="0.3">
      <c r="A21" s="318" t="s">
        <v>285</v>
      </c>
      <c r="B21" s="647">
        <v>0.49</v>
      </c>
      <c r="C21" s="648">
        <v>2E-3</v>
      </c>
      <c r="D21" s="620">
        <f t="shared" si="4"/>
        <v>0.40816326530612246</v>
      </c>
      <c r="E21" s="647">
        <v>1.3149999999999999</v>
      </c>
      <c r="F21" s="648">
        <v>1.2999999999999999E-2</v>
      </c>
      <c r="G21" s="620">
        <f t="shared" si="5"/>
        <v>0.98859315589353625</v>
      </c>
      <c r="H21" s="649">
        <v>0.96499999999999997</v>
      </c>
      <c r="I21" s="648">
        <v>8.0000000000000002E-3</v>
      </c>
      <c r="J21" s="681">
        <f t="shared" si="6"/>
        <v>0.82901554404145084</v>
      </c>
      <c r="K21" s="39"/>
    </row>
    <row r="22" spans="1:15" ht="19.5" customHeight="1" x14ac:dyDescent="0.25">
      <c r="A22" s="826" t="s">
        <v>487</v>
      </c>
      <c r="B22" s="826"/>
      <c r="C22" s="826"/>
      <c r="D22" s="826"/>
      <c r="E22" s="826"/>
      <c r="F22" s="826"/>
      <c r="G22" s="826"/>
      <c r="H22" s="826"/>
      <c r="I22" s="826"/>
      <c r="J22" s="826"/>
    </row>
    <row r="24" spans="1:15" x14ac:dyDescent="0.25">
      <c r="L24" s="38"/>
      <c r="M24" s="37"/>
      <c r="N24" s="37"/>
      <c r="O24" s="37"/>
    </row>
    <row r="25" spans="1:15" x14ac:dyDescent="0.25">
      <c r="L25" s="34"/>
    </row>
    <row r="26" spans="1:15" x14ac:dyDescent="0.25">
      <c r="L26" s="34"/>
    </row>
    <row r="27" spans="1:15" x14ac:dyDescent="0.25">
      <c r="L27" s="34"/>
    </row>
    <row r="28" spans="1:15" x14ac:dyDescent="0.25">
      <c r="L28" s="34"/>
    </row>
    <row r="29" spans="1:15" x14ac:dyDescent="0.25">
      <c r="L29" s="34"/>
    </row>
    <row r="30" spans="1:15" x14ac:dyDescent="0.25">
      <c r="L30" s="34"/>
    </row>
    <row r="31" spans="1:15" x14ac:dyDescent="0.25">
      <c r="L31" s="34"/>
    </row>
    <row r="32" spans="1:15" x14ac:dyDescent="0.25">
      <c r="L32" s="34"/>
    </row>
    <row r="33" spans="12:12" x14ac:dyDescent="0.25">
      <c r="L33" s="34"/>
    </row>
    <row r="34" spans="12:12" x14ac:dyDescent="0.25">
      <c r="L34" s="34"/>
    </row>
    <row r="35" spans="12:12" x14ac:dyDescent="0.25">
      <c r="L35" s="34"/>
    </row>
    <row r="36" spans="12:12" x14ac:dyDescent="0.25">
      <c r="L36" s="34"/>
    </row>
    <row r="37" spans="12:12" x14ac:dyDescent="0.25">
      <c r="L37" s="34"/>
    </row>
    <row r="38" spans="12:12" x14ac:dyDescent="0.25">
      <c r="L38" s="34"/>
    </row>
    <row r="39" spans="12:12" x14ac:dyDescent="0.25">
      <c r="L39" s="34"/>
    </row>
    <row r="40" spans="12:12" x14ac:dyDescent="0.25">
      <c r="L40" s="34"/>
    </row>
    <row r="41" spans="12:12" x14ac:dyDescent="0.25">
      <c r="L41" s="34"/>
    </row>
    <row r="42" spans="12:12" x14ac:dyDescent="0.25">
      <c r="L42" s="34"/>
    </row>
    <row r="43" spans="12:12" x14ac:dyDescent="0.25">
      <c r="L43" s="34"/>
    </row>
    <row r="44" spans="12:12" x14ac:dyDescent="0.25">
      <c r="L44" s="34"/>
    </row>
    <row r="45" spans="12:12" x14ac:dyDescent="0.25">
      <c r="L45" s="34"/>
    </row>
    <row r="46" spans="12:12" x14ac:dyDescent="0.25">
      <c r="L46" s="34"/>
    </row>
    <row r="47" spans="12:12" x14ac:dyDescent="0.25">
      <c r="L47" s="34"/>
    </row>
    <row r="48" spans="12:12" x14ac:dyDescent="0.25">
      <c r="L48" s="34"/>
    </row>
    <row r="49" spans="12:12" x14ac:dyDescent="0.25">
      <c r="L49" s="34"/>
    </row>
    <row r="50" spans="12:12" x14ac:dyDescent="0.25">
      <c r="L50" s="34"/>
    </row>
    <row r="51" spans="12:12" x14ac:dyDescent="0.25">
      <c r="L51" s="34"/>
    </row>
    <row r="52" spans="12:12" x14ac:dyDescent="0.25">
      <c r="L52" s="34"/>
    </row>
    <row r="53" spans="12:12" x14ac:dyDescent="0.25">
      <c r="L53" s="34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2" customWidth="1"/>
    <col min="2" max="2" width="7.7109375" style="44" customWidth="1"/>
    <col min="3" max="3" width="7.42578125" style="44" customWidth="1"/>
    <col min="4" max="4" width="7.140625" style="44" customWidth="1"/>
    <col min="5" max="5" width="7.7109375" style="44" customWidth="1"/>
    <col min="6" max="6" width="7.42578125" style="44" customWidth="1"/>
    <col min="7" max="7" width="7.140625" style="44" customWidth="1"/>
    <col min="8" max="8" width="7.7109375" style="44" customWidth="1"/>
    <col min="9" max="9" width="7.42578125" style="44" customWidth="1"/>
    <col min="10" max="10" width="7.28515625" style="44" customWidth="1"/>
    <col min="11" max="16384" width="9.140625" style="33"/>
  </cols>
  <sheetData>
    <row r="1" spans="1:10" s="44" customFormat="1" hidden="1" x14ac:dyDescent="0.25">
      <c r="A1" s="202"/>
      <c r="B1" s="227"/>
      <c r="C1" s="227"/>
      <c r="D1" s="227"/>
    </row>
    <row r="2" spans="1:10" hidden="1" x14ac:dyDescent="0.25">
      <c r="A2" s="202"/>
      <c r="B2" s="227"/>
      <c r="C2" s="227"/>
      <c r="D2" s="227"/>
    </row>
    <row r="4" spans="1:10" x14ac:dyDescent="0.25">
      <c r="A4" s="321" t="s">
        <v>343</v>
      </c>
      <c r="B4" s="321"/>
      <c r="C4" s="321"/>
      <c r="D4" s="321"/>
      <c r="E4" s="321"/>
      <c r="F4" s="321"/>
      <c r="G4" s="321"/>
      <c r="H4" s="321"/>
      <c r="I4" s="321"/>
      <c r="J4" s="80" t="s">
        <v>399</v>
      </c>
    </row>
    <row r="5" spans="1:10" x14ac:dyDescent="0.25">
      <c r="A5" s="838" t="s">
        <v>435</v>
      </c>
      <c r="B5" s="834" t="s">
        <v>529</v>
      </c>
      <c r="C5" s="835"/>
      <c r="D5" s="835"/>
      <c r="E5" s="834" t="s">
        <v>530</v>
      </c>
      <c r="F5" s="835"/>
      <c r="G5" s="836"/>
      <c r="H5" s="837" t="s">
        <v>531</v>
      </c>
      <c r="I5" s="835"/>
      <c r="J5" s="835"/>
    </row>
    <row r="6" spans="1:10" ht="18" x14ac:dyDescent="0.25">
      <c r="A6" s="839"/>
      <c r="B6" s="738" t="s">
        <v>2</v>
      </c>
      <c r="C6" s="739" t="s">
        <v>243</v>
      </c>
      <c r="D6" s="739" t="s">
        <v>273</v>
      </c>
      <c r="E6" s="738" t="s">
        <v>2</v>
      </c>
      <c r="F6" s="739" t="s">
        <v>243</v>
      </c>
      <c r="G6" s="740" t="s">
        <v>273</v>
      </c>
      <c r="H6" s="741" t="s">
        <v>2</v>
      </c>
      <c r="I6" s="739" t="s">
        <v>243</v>
      </c>
      <c r="J6" s="739" t="s">
        <v>273</v>
      </c>
    </row>
    <row r="7" spans="1:10" s="43" customFormat="1" x14ac:dyDescent="0.25">
      <c r="A7" s="713" t="s">
        <v>137</v>
      </c>
      <c r="B7" s="714">
        <f>+B11+B15</f>
        <v>9502.26</v>
      </c>
      <c r="C7" s="715">
        <f>C11+C15</f>
        <v>422.84200000000004</v>
      </c>
      <c r="D7" s="716">
        <f t="shared" ref="D7:D18" si="0">IFERROR(C7*100/B7,0)</f>
        <v>4.4499098109291895</v>
      </c>
      <c r="E7" s="714">
        <f>E11+E15</f>
        <v>9773.3059999999987</v>
      </c>
      <c r="F7" s="715">
        <f>F11+F15</f>
        <v>391.84899999999999</v>
      </c>
      <c r="G7" s="717">
        <f t="shared" ref="G7:G18" si="1">IFERROR(F7*100/E7,0)</f>
        <v>4.0093802445150093</v>
      </c>
      <c r="H7" s="715">
        <f>H11+H15</f>
        <v>9870.7860000000001</v>
      </c>
      <c r="I7" s="715">
        <f>I11+I15</f>
        <v>386.78599999999994</v>
      </c>
      <c r="J7" s="716">
        <f t="shared" ref="J7:J18" si="2">IFERROR(I7*100/H7,0)</f>
        <v>3.9184924077981216</v>
      </c>
    </row>
    <row r="8" spans="1:10" s="43" customFormat="1" ht="15" customHeight="1" x14ac:dyDescent="0.25">
      <c r="A8" s="718" t="s">
        <v>286</v>
      </c>
      <c r="B8" s="719">
        <f t="shared" ref="B8:B10" si="3">+B12+B16</f>
        <v>8558.9930000000004</v>
      </c>
      <c r="C8" s="720">
        <f t="shared" ref="C8:C10" si="4">C12+C16</f>
        <v>53.366</v>
      </c>
      <c r="D8" s="721">
        <f t="shared" si="0"/>
        <v>0.62350792902856678</v>
      </c>
      <c r="E8" s="719">
        <f t="shared" ref="E8:E10" si="5">+E12+E16</f>
        <v>8835.5450000000001</v>
      </c>
      <c r="F8" s="722">
        <f t="shared" ref="F8:F10" si="6">F12+F16</f>
        <v>73.055999999999997</v>
      </c>
      <c r="G8" s="723">
        <f t="shared" si="1"/>
        <v>0.82684203407939172</v>
      </c>
      <c r="H8" s="720">
        <f t="shared" ref="H8:H10" si="7">+H12+H16</f>
        <v>8841.93</v>
      </c>
      <c r="I8" s="720">
        <f t="shared" ref="I8:I10" si="8">I12+I16</f>
        <v>70.718000000000004</v>
      </c>
      <c r="J8" s="721">
        <f t="shared" si="2"/>
        <v>0.79980275799514355</v>
      </c>
    </row>
    <row r="9" spans="1:10" s="43" customFormat="1" ht="15" customHeight="1" x14ac:dyDescent="0.25">
      <c r="A9" s="718" t="s">
        <v>287</v>
      </c>
      <c r="B9" s="719">
        <f t="shared" si="3"/>
        <v>525.23299999999995</v>
      </c>
      <c r="C9" s="720">
        <f t="shared" si="4"/>
        <v>47.321999999999996</v>
      </c>
      <c r="D9" s="721">
        <f t="shared" si="0"/>
        <v>9.0097156880850982</v>
      </c>
      <c r="E9" s="719">
        <f t="shared" si="5"/>
        <v>629.98199999999997</v>
      </c>
      <c r="F9" s="722">
        <f t="shared" si="6"/>
        <v>68.009</v>
      </c>
      <c r="G9" s="723">
        <f t="shared" si="1"/>
        <v>10.795387804730929</v>
      </c>
      <c r="H9" s="720">
        <f t="shared" si="7"/>
        <v>728.30900000000008</v>
      </c>
      <c r="I9" s="720">
        <f t="shared" si="8"/>
        <v>71.409000000000006</v>
      </c>
      <c r="J9" s="721">
        <f t="shared" si="2"/>
        <v>9.8047669327167455</v>
      </c>
    </row>
    <row r="10" spans="1:10" s="43" customFormat="1" ht="15" customHeight="1" x14ac:dyDescent="0.25">
      <c r="A10" s="724" t="s">
        <v>288</v>
      </c>
      <c r="B10" s="725">
        <f t="shared" si="3"/>
        <v>418.03399999999999</v>
      </c>
      <c r="C10" s="726">
        <f t="shared" si="4"/>
        <v>322.154</v>
      </c>
      <c r="D10" s="721">
        <f t="shared" si="0"/>
        <v>77.064066559179409</v>
      </c>
      <c r="E10" s="725">
        <f t="shared" si="5"/>
        <v>307.779</v>
      </c>
      <c r="F10" s="726">
        <f t="shared" si="6"/>
        <v>250.78399999999999</v>
      </c>
      <c r="G10" s="723">
        <f t="shared" si="1"/>
        <v>81.481842490878194</v>
      </c>
      <c r="H10" s="726">
        <f t="shared" si="7"/>
        <v>300.54699999999997</v>
      </c>
      <c r="I10" s="726">
        <f t="shared" si="8"/>
        <v>244.65899999999999</v>
      </c>
      <c r="J10" s="721">
        <f t="shared" si="2"/>
        <v>81.404572329785353</v>
      </c>
    </row>
    <row r="11" spans="1:10" s="43" customFormat="1" ht="15" customHeight="1" x14ac:dyDescent="0.25">
      <c r="A11" s="727" t="s">
        <v>274</v>
      </c>
      <c r="B11" s="714">
        <f>SUM(B12:B14)</f>
        <v>8438.4940000000006</v>
      </c>
      <c r="C11" s="715">
        <f>SUM(C12:C14)</f>
        <v>414.52200000000005</v>
      </c>
      <c r="D11" s="716">
        <f t="shared" si="0"/>
        <v>4.9122746309945828</v>
      </c>
      <c r="E11" s="714">
        <f>SUM(E12:E14)</f>
        <v>8644.021999999999</v>
      </c>
      <c r="F11" s="715">
        <f>SUM(F12:F14)</f>
        <v>380.625</v>
      </c>
      <c r="G11" s="717">
        <f t="shared" si="1"/>
        <v>4.4033321525558362</v>
      </c>
      <c r="H11" s="715">
        <f>SUM(H12:H14)</f>
        <v>8755.1290000000008</v>
      </c>
      <c r="I11" s="715">
        <f>SUM(I12:I14)</f>
        <v>374.83299999999997</v>
      </c>
      <c r="J11" s="716">
        <f t="shared" si="2"/>
        <v>4.2812961408107171</v>
      </c>
    </row>
    <row r="12" spans="1:10" s="43" customFormat="1" ht="15" customHeight="1" x14ac:dyDescent="0.25">
      <c r="A12" s="728" t="s">
        <v>286</v>
      </c>
      <c r="B12" s="719">
        <v>7562.6790000000001</v>
      </c>
      <c r="C12" s="720">
        <v>49.262</v>
      </c>
      <c r="D12" s="721">
        <f t="shared" si="0"/>
        <v>0.6513829292503357</v>
      </c>
      <c r="E12" s="719">
        <v>7766.8419999999996</v>
      </c>
      <c r="F12" s="722">
        <v>66.290999999999997</v>
      </c>
      <c r="G12" s="723">
        <f t="shared" si="1"/>
        <v>0.85351292069543838</v>
      </c>
      <c r="H12" s="729">
        <v>7808.99</v>
      </c>
      <c r="I12" s="720">
        <v>63.792999999999999</v>
      </c>
      <c r="J12" s="721">
        <f t="shared" si="2"/>
        <v>0.81691742466055151</v>
      </c>
    </row>
    <row r="13" spans="1:10" s="43" customFormat="1" ht="15" customHeight="1" x14ac:dyDescent="0.25">
      <c r="A13" s="728" t="s">
        <v>287</v>
      </c>
      <c r="B13" s="719">
        <v>459.625</v>
      </c>
      <c r="C13" s="720">
        <v>43.601999999999997</v>
      </c>
      <c r="D13" s="721">
        <f t="shared" si="0"/>
        <v>9.4864291542017938</v>
      </c>
      <c r="E13" s="719">
        <v>570.44100000000003</v>
      </c>
      <c r="F13" s="722">
        <v>64.037999999999997</v>
      </c>
      <c r="G13" s="723">
        <f t="shared" si="1"/>
        <v>11.226051423372441</v>
      </c>
      <c r="H13" s="720">
        <v>646.76300000000003</v>
      </c>
      <c r="I13" s="720">
        <v>66.899000000000001</v>
      </c>
      <c r="J13" s="721">
        <f t="shared" si="2"/>
        <v>10.343665299344581</v>
      </c>
    </row>
    <row r="14" spans="1:10" s="43" customFormat="1" ht="15" customHeight="1" x14ac:dyDescent="0.25">
      <c r="A14" s="730" t="s">
        <v>288</v>
      </c>
      <c r="B14" s="731">
        <v>416.19</v>
      </c>
      <c r="C14" s="732">
        <v>321.65800000000002</v>
      </c>
      <c r="D14" s="721">
        <f t="shared" si="0"/>
        <v>77.28633556788968</v>
      </c>
      <c r="E14" s="731">
        <v>306.73899999999998</v>
      </c>
      <c r="F14" s="732">
        <v>250.29599999999999</v>
      </c>
      <c r="G14" s="723">
        <f t="shared" si="1"/>
        <v>81.599014145576533</v>
      </c>
      <c r="H14" s="732">
        <v>299.37599999999998</v>
      </c>
      <c r="I14" s="732">
        <v>244.14099999999999</v>
      </c>
      <c r="J14" s="721">
        <f t="shared" si="2"/>
        <v>81.549957244401696</v>
      </c>
    </row>
    <row r="15" spans="1:10" s="43" customFormat="1" ht="15" customHeight="1" x14ac:dyDescent="0.25">
      <c r="A15" s="733" t="s">
        <v>281</v>
      </c>
      <c r="B15" s="714">
        <f>SUM(B16:B18)</f>
        <v>1063.7660000000001</v>
      </c>
      <c r="C15" s="715">
        <f>SUM(C16:C18)</f>
        <v>8.32</v>
      </c>
      <c r="D15" s="716">
        <f t="shared" si="0"/>
        <v>0.7821268963287038</v>
      </c>
      <c r="E15" s="714">
        <f>SUM(E16:E18)</f>
        <v>1129.2839999999999</v>
      </c>
      <c r="F15" s="715">
        <f>SUM(F16:F18)</f>
        <v>11.224</v>
      </c>
      <c r="G15" s="717">
        <f t="shared" si="1"/>
        <v>0.99390410206821334</v>
      </c>
      <c r="H15" s="715">
        <f>SUM(H16:H18)</f>
        <v>1115.6570000000002</v>
      </c>
      <c r="I15" s="715">
        <f>SUM(I16:I18)</f>
        <v>11.952999999999999</v>
      </c>
      <c r="J15" s="716">
        <f t="shared" si="2"/>
        <v>1.0713866358567192</v>
      </c>
    </row>
    <row r="16" spans="1:10" s="43" customFormat="1" ht="15" customHeight="1" x14ac:dyDescent="0.25">
      <c r="A16" s="718" t="s">
        <v>286</v>
      </c>
      <c r="B16" s="719">
        <v>996.31399999999996</v>
      </c>
      <c r="C16" s="720">
        <v>4.1040000000000001</v>
      </c>
      <c r="D16" s="721">
        <f t="shared" si="0"/>
        <v>0.41191833096794789</v>
      </c>
      <c r="E16" s="719">
        <v>1068.703</v>
      </c>
      <c r="F16" s="722">
        <v>6.7649999999999997</v>
      </c>
      <c r="G16" s="723">
        <f t="shared" si="1"/>
        <v>0.63301029378601914</v>
      </c>
      <c r="H16" s="720">
        <v>1032.94</v>
      </c>
      <c r="I16" s="720">
        <v>6.9249999999999998</v>
      </c>
      <c r="J16" s="721">
        <f t="shared" si="2"/>
        <v>0.67041648111216523</v>
      </c>
    </row>
    <row r="17" spans="1:10" ht="15" customHeight="1" x14ac:dyDescent="0.25">
      <c r="A17" s="718" t="s">
        <v>287</v>
      </c>
      <c r="B17" s="719">
        <v>65.608000000000004</v>
      </c>
      <c r="C17" s="720">
        <v>3.72</v>
      </c>
      <c r="D17" s="721">
        <f t="shared" si="0"/>
        <v>5.6700402389952442</v>
      </c>
      <c r="E17" s="719">
        <v>59.540999999999997</v>
      </c>
      <c r="F17" s="722">
        <v>3.9710000000000001</v>
      </c>
      <c r="G17" s="723">
        <f t="shared" si="1"/>
        <v>6.6693538905963967</v>
      </c>
      <c r="H17" s="720">
        <v>81.546000000000006</v>
      </c>
      <c r="I17" s="720">
        <v>4.51</v>
      </c>
      <c r="J17" s="721">
        <f t="shared" si="2"/>
        <v>5.5306207539302967</v>
      </c>
    </row>
    <row r="18" spans="1:10" ht="15" customHeight="1" thickBot="1" x14ac:dyDescent="0.3">
      <c r="A18" s="734" t="s">
        <v>288</v>
      </c>
      <c r="B18" s="735">
        <v>1.8440000000000001</v>
      </c>
      <c r="C18" s="736">
        <v>0.496</v>
      </c>
      <c r="D18" s="721">
        <f t="shared" si="0"/>
        <v>26.898047722342731</v>
      </c>
      <c r="E18" s="735">
        <v>1.04</v>
      </c>
      <c r="F18" s="736">
        <v>0.48799999999999999</v>
      </c>
      <c r="G18" s="737">
        <f t="shared" si="1"/>
        <v>46.92307692307692</v>
      </c>
      <c r="H18" s="736">
        <v>1.171</v>
      </c>
      <c r="I18" s="736">
        <v>0.51800000000000002</v>
      </c>
      <c r="J18" s="721">
        <f t="shared" si="2"/>
        <v>44.235695986336466</v>
      </c>
    </row>
    <row r="19" spans="1:10" x14ac:dyDescent="0.25">
      <c r="A19" s="832"/>
      <c r="B19" s="833"/>
      <c r="C19" s="833"/>
      <c r="D19" s="833"/>
      <c r="E19" s="833"/>
      <c r="F19" s="833"/>
      <c r="G19" s="833"/>
      <c r="H19" s="833"/>
      <c r="I19" s="833"/>
      <c r="J19" s="833"/>
    </row>
    <row r="20" spans="1:10" x14ac:dyDescent="0.25">
      <c r="A20" s="323"/>
    </row>
    <row r="21" spans="1:10" x14ac:dyDescent="0.25">
      <c r="A21" s="323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J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2" customWidth="1"/>
    <col min="2" max="2" width="7.85546875" style="44" bestFit="1" customWidth="1"/>
    <col min="3" max="3" width="6.42578125" style="44" bestFit="1" customWidth="1"/>
    <col min="4" max="4" width="7.28515625" style="44" customWidth="1"/>
    <col min="5" max="5" width="7.85546875" style="44" bestFit="1" customWidth="1"/>
    <col min="6" max="6" width="6.42578125" style="44" bestFit="1" customWidth="1"/>
    <col min="7" max="7" width="7.28515625" style="44" customWidth="1"/>
    <col min="8" max="8" width="8.85546875" style="44" customWidth="1"/>
    <col min="9" max="9" width="6.42578125" style="44" bestFit="1" customWidth="1"/>
    <col min="10" max="10" width="7.28515625" style="44" customWidth="1"/>
    <col min="11" max="16384" width="9.140625" style="33"/>
  </cols>
  <sheetData>
    <row r="1" spans="1:10" s="44" customFormat="1" hidden="1" x14ac:dyDescent="0.25">
      <c r="A1" s="156"/>
      <c r="B1" s="29"/>
      <c r="C1" s="29"/>
      <c r="D1" s="29"/>
      <c r="E1" s="29"/>
      <c r="F1" s="29"/>
      <c r="G1" s="29"/>
      <c r="H1" s="29"/>
      <c r="I1" s="29"/>
      <c r="J1" s="29"/>
    </row>
    <row r="2" spans="1:10" hidden="1" x14ac:dyDescent="0.25">
      <c r="A2" s="202"/>
      <c r="B2" s="227"/>
      <c r="C2" s="227"/>
      <c r="D2" s="227"/>
      <c r="E2" s="227"/>
      <c r="F2" s="227"/>
      <c r="G2" s="227"/>
      <c r="H2" s="227"/>
      <c r="I2" s="227"/>
      <c r="J2" s="227"/>
    </row>
    <row r="3" spans="1:10" x14ac:dyDescent="0.25">
      <c r="A3" s="202"/>
      <c r="B3" s="227"/>
      <c r="C3" s="227"/>
      <c r="D3" s="227"/>
      <c r="E3" s="227"/>
      <c r="F3" s="227"/>
      <c r="G3" s="227"/>
      <c r="H3" s="227"/>
      <c r="I3" s="227"/>
      <c r="J3" s="227"/>
    </row>
    <row r="4" spans="1:10" x14ac:dyDescent="0.25">
      <c r="A4" s="324" t="s">
        <v>344</v>
      </c>
      <c r="B4" s="324"/>
      <c r="C4" s="324"/>
      <c r="D4" s="324"/>
      <c r="E4" s="324"/>
      <c r="F4" s="324"/>
      <c r="G4" s="324"/>
      <c r="H4" s="324"/>
      <c r="I4" s="324"/>
      <c r="J4" s="80" t="s">
        <v>399</v>
      </c>
    </row>
    <row r="5" spans="1:10" x14ac:dyDescent="0.25">
      <c r="A5" s="840" t="s">
        <v>289</v>
      </c>
      <c r="B5" s="841" t="s">
        <v>529</v>
      </c>
      <c r="C5" s="842"/>
      <c r="D5" s="843"/>
      <c r="E5" s="841" t="s">
        <v>530</v>
      </c>
      <c r="F5" s="842"/>
      <c r="G5" s="843"/>
      <c r="H5" s="844" t="str">
        <f>'Pr 3'!K1</f>
        <v>03/2021.</v>
      </c>
      <c r="I5" s="844"/>
      <c r="J5" s="844"/>
    </row>
    <row r="6" spans="1:10" s="43" customFormat="1" ht="22.5" x14ac:dyDescent="0.25">
      <c r="A6" s="840"/>
      <c r="B6" s="687" t="s">
        <v>2</v>
      </c>
      <c r="C6" s="688" t="s">
        <v>243</v>
      </c>
      <c r="D6" s="689" t="s">
        <v>273</v>
      </c>
      <c r="E6" s="687" t="s">
        <v>2</v>
      </c>
      <c r="F6" s="688" t="s">
        <v>243</v>
      </c>
      <c r="G6" s="689" t="s">
        <v>273</v>
      </c>
      <c r="H6" s="690" t="s">
        <v>2</v>
      </c>
      <c r="I6" s="688" t="s">
        <v>243</v>
      </c>
      <c r="J6" s="688" t="s">
        <v>273</v>
      </c>
    </row>
    <row r="7" spans="1:10" s="43" customFormat="1" x14ac:dyDescent="0.25">
      <c r="A7" s="691" t="s">
        <v>290</v>
      </c>
      <c r="B7" s="692">
        <f>+B10+B13+B16</f>
        <v>5463.2930000000006</v>
      </c>
      <c r="C7" s="693">
        <f>+C10+C13+C16</f>
        <v>376.90300000000002</v>
      </c>
      <c r="D7" s="696">
        <f>IFERROR(C7*100/B7,0)</f>
        <v>6.8988245733845863</v>
      </c>
      <c r="E7" s="695">
        <f>+E10+E13+E16</f>
        <v>5493.8060000000005</v>
      </c>
      <c r="F7" s="693">
        <f>+F10+F13+F16</f>
        <v>357.43299999999999</v>
      </c>
      <c r="G7" s="696">
        <f>IFERROR(F7*100/E7,0)</f>
        <v>6.5061088797092577</v>
      </c>
      <c r="H7" s="693">
        <f>+H10+H13+H16</f>
        <v>5526.5110000000004</v>
      </c>
      <c r="I7" s="693">
        <f>+I10+I13+I16</f>
        <v>352.03</v>
      </c>
      <c r="J7" s="697">
        <f>IFERROR(I7*100/H7,0)</f>
        <v>6.3698416595931855</v>
      </c>
    </row>
    <row r="8" spans="1:10" s="43" customFormat="1" x14ac:dyDescent="0.25">
      <c r="A8" s="698" t="s">
        <v>291</v>
      </c>
      <c r="B8" s="326">
        <f t="shared" ref="B8:I9" si="0">+B11+B14+B17</f>
        <v>2961.192</v>
      </c>
      <c r="C8" s="628">
        <f t="shared" si="0"/>
        <v>207.23199999999997</v>
      </c>
      <c r="D8" s="685">
        <f t="shared" ref="D8:D18" si="1">IFERROR(C8*100/B8,0)</f>
        <v>6.9982628617124449</v>
      </c>
      <c r="E8" s="619">
        <f t="shared" ref="E8:F8" si="2">+E11+E14+E17</f>
        <v>2921.0459999999998</v>
      </c>
      <c r="F8" s="628">
        <f t="shared" si="2"/>
        <v>192.07</v>
      </c>
      <c r="G8" s="685">
        <f>IFERROR(F8*100/E8,0)</f>
        <v>6.5753842972688554</v>
      </c>
      <c r="H8" s="628">
        <f t="shared" ref="H8:I8" si="3">+H11+H14+H17</f>
        <v>2918.0810000000001</v>
      </c>
      <c r="I8" s="628">
        <f t="shared" si="3"/>
        <v>187.86099999999999</v>
      </c>
      <c r="J8" s="682">
        <f>IFERROR(I8*100/H8,0)</f>
        <v>6.4378267772553253</v>
      </c>
    </row>
    <row r="9" spans="1:10" s="43" customFormat="1" ht="15" customHeight="1" x14ac:dyDescent="0.25">
      <c r="A9" s="699" t="s">
        <v>292</v>
      </c>
      <c r="B9" s="700">
        <f t="shared" si="0"/>
        <v>2502.1010000000001</v>
      </c>
      <c r="C9" s="701">
        <f t="shared" si="0"/>
        <v>169.67099999999999</v>
      </c>
      <c r="D9" s="704">
        <f t="shared" si="1"/>
        <v>6.7811411289951913</v>
      </c>
      <c r="E9" s="703">
        <f t="shared" si="0"/>
        <v>2572.7599999999998</v>
      </c>
      <c r="F9" s="701">
        <f t="shared" si="0"/>
        <v>165.363</v>
      </c>
      <c r="G9" s="704">
        <f>IFERROR(F9*100/E9,0)</f>
        <v>6.4274553397907308</v>
      </c>
      <c r="H9" s="701">
        <f t="shared" si="0"/>
        <v>2608.4299999999998</v>
      </c>
      <c r="I9" s="701">
        <f t="shared" si="0"/>
        <v>164.16899999999998</v>
      </c>
      <c r="J9" s="705">
        <f>IFERROR(I9*100/H9,0)</f>
        <v>6.2937859171992345</v>
      </c>
    </row>
    <row r="10" spans="1:10" s="43" customFormat="1" x14ac:dyDescent="0.25">
      <c r="A10" s="312" t="s">
        <v>286</v>
      </c>
      <c r="B10" s="610">
        <f>+B11+B12</f>
        <v>4630.1980000000003</v>
      </c>
      <c r="C10" s="683">
        <f>+C11+C12</f>
        <v>40.492000000000004</v>
      </c>
      <c r="D10" s="684">
        <f>IFERROR(C10*100/B10,0)</f>
        <v>0.87451983694865754</v>
      </c>
      <c r="E10" s="686">
        <f>+E11+E12</f>
        <v>4658.5190000000002</v>
      </c>
      <c r="F10" s="683">
        <f>+F11+F12</f>
        <v>63.105000000000004</v>
      </c>
      <c r="G10" s="684">
        <f>IFERROR(F10*100/E10,0)</f>
        <v>1.3546150611385293</v>
      </c>
      <c r="H10" s="683">
        <f>+H11+H12</f>
        <v>4626.7049999999999</v>
      </c>
      <c r="I10" s="611">
        <f>+I11+I12</f>
        <v>60.504000000000005</v>
      </c>
      <c r="J10" s="707">
        <f>IFERROR(I10*100/H10,0)</f>
        <v>1.307712508145646</v>
      </c>
    </row>
    <row r="11" spans="1:10" s="43" customFormat="1" x14ac:dyDescent="0.25">
      <c r="A11" s="325" t="s">
        <v>291</v>
      </c>
      <c r="B11" s="326">
        <v>2527.076</v>
      </c>
      <c r="C11" s="628">
        <v>24.917000000000002</v>
      </c>
      <c r="D11" s="620">
        <f t="shared" si="1"/>
        <v>0.98600121246848149</v>
      </c>
      <c r="E11" s="619">
        <v>2436.982</v>
      </c>
      <c r="F11" s="628">
        <v>34.036000000000001</v>
      </c>
      <c r="G11" s="620">
        <f t="shared" ref="G11:G18" si="4">IFERROR(F11*100/E11,0)</f>
        <v>1.3966455230280734</v>
      </c>
      <c r="H11" s="628">
        <f>+'Pr 3'!B5</f>
        <v>2381.2469999999998</v>
      </c>
      <c r="I11" s="327">
        <f>+'Pr 3'!F5</f>
        <v>31.959000000000003</v>
      </c>
      <c r="J11" s="679">
        <f t="shared" ref="J11:J18" si="5">IFERROR(I11*100/H11,0)</f>
        <v>1.3421119270701447</v>
      </c>
    </row>
    <row r="12" spans="1:10" s="43" customFormat="1" ht="15" customHeight="1" x14ac:dyDescent="0.25">
      <c r="A12" s="698" t="s">
        <v>292</v>
      </c>
      <c r="B12" s="326">
        <v>2103.1219999999998</v>
      </c>
      <c r="C12" s="628">
        <v>15.574999999999999</v>
      </c>
      <c r="D12" s="620">
        <f t="shared" si="1"/>
        <v>0.74056569233739178</v>
      </c>
      <c r="E12" s="619">
        <v>2221.5369999999998</v>
      </c>
      <c r="F12" s="628">
        <v>29.068999999999999</v>
      </c>
      <c r="G12" s="620">
        <f t="shared" si="4"/>
        <v>1.3085084785893732</v>
      </c>
      <c r="H12" s="628">
        <f>+'Pr 3'!B27</f>
        <v>2245.4580000000001</v>
      </c>
      <c r="I12" s="327">
        <f>+'Pr 3'!F27</f>
        <v>28.545000000000002</v>
      </c>
      <c r="J12" s="679">
        <f t="shared" si="5"/>
        <v>1.2712328620709004</v>
      </c>
    </row>
    <row r="13" spans="1:10" s="43" customFormat="1" x14ac:dyDescent="0.25">
      <c r="A13" s="691" t="s">
        <v>287</v>
      </c>
      <c r="B13" s="692">
        <f>+B14+B15</f>
        <v>453.36599999999999</v>
      </c>
      <c r="C13" s="693">
        <f>+C14+C15</f>
        <v>41.46</v>
      </c>
      <c r="D13" s="694">
        <f>IFERROR(C13*100/B13,0)</f>
        <v>9.1449292624502068</v>
      </c>
      <c r="E13" s="695">
        <f>+E14+E15</f>
        <v>547.80400000000009</v>
      </c>
      <c r="F13" s="693">
        <f>+F14+F15</f>
        <v>62.100999999999999</v>
      </c>
      <c r="G13" s="694">
        <f>IFERROR(F13*100/E13,0)</f>
        <v>11.336353878394462</v>
      </c>
      <c r="H13" s="693">
        <f>+H14+H15</f>
        <v>619.24300000000005</v>
      </c>
      <c r="I13" s="693">
        <f>+I14+I15</f>
        <v>65.15100000000001</v>
      </c>
      <c r="J13" s="708">
        <f>IFERROR(I13*100/H13,0)</f>
        <v>10.521071695602535</v>
      </c>
    </row>
    <row r="14" spans="1:10" s="43" customFormat="1" x14ac:dyDescent="0.25">
      <c r="A14" s="698" t="s">
        <v>291</v>
      </c>
      <c r="B14" s="326">
        <v>224.40799999999999</v>
      </c>
      <c r="C14" s="628">
        <v>19.913</v>
      </c>
      <c r="D14" s="620">
        <f t="shared" si="1"/>
        <v>8.8735695697123091</v>
      </c>
      <c r="E14" s="619">
        <v>324.32600000000002</v>
      </c>
      <c r="F14" s="628">
        <v>34.732999999999997</v>
      </c>
      <c r="G14" s="620">
        <f t="shared" si="4"/>
        <v>10.709286335353932</v>
      </c>
      <c r="H14" s="628">
        <f>+'Pr 3'!C5</f>
        <v>382.62300000000005</v>
      </c>
      <c r="I14" s="628">
        <f>+'Pr 3'!G5</f>
        <v>37.280000000000008</v>
      </c>
      <c r="J14" s="679">
        <f t="shared" si="5"/>
        <v>9.7432720981226968</v>
      </c>
    </row>
    <row r="15" spans="1:10" s="43" customFormat="1" ht="15" customHeight="1" x14ac:dyDescent="0.25">
      <c r="A15" s="699" t="s">
        <v>292</v>
      </c>
      <c r="B15" s="700">
        <v>228.958</v>
      </c>
      <c r="C15" s="701">
        <v>21.547000000000001</v>
      </c>
      <c r="D15" s="702">
        <f t="shared" si="1"/>
        <v>9.4108963215961019</v>
      </c>
      <c r="E15" s="703">
        <v>223.47800000000001</v>
      </c>
      <c r="F15" s="701">
        <v>27.367999999999999</v>
      </c>
      <c r="G15" s="702">
        <f t="shared" si="4"/>
        <v>12.246395618360642</v>
      </c>
      <c r="H15" s="701">
        <f>+'Pr 3'!C27</f>
        <v>236.62</v>
      </c>
      <c r="I15" s="701">
        <f>+'Pr 3'!G27</f>
        <v>27.870999999999999</v>
      </c>
      <c r="J15" s="709">
        <f t="shared" si="5"/>
        <v>11.778801453807793</v>
      </c>
    </row>
    <row r="16" spans="1:10" s="43" customFormat="1" x14ac:dyDescent="0.25">
      <c r="A16" s="706" t="s">
        <v>288</v>
      </c>
      <c r="B16" s="610">
        <f>+B17+B18</f>
        <v>379.72899999999998</v>
      </c>
      <c r="C16" s="683">
        <f>+C17+C18</f>
        <v>294.95100000000002</v>
      </c>
      <c r="D16" s="684">
        <f>IFERROR(C16*100/B16,0)</f>
        <v>77.674078092534415</v>
      </c>
      <c r="E16" s="686">
        <f>+E17+E18</f>
        <v>287.483</v>
      </c>
      <c r="F16" s="683">
        <f>+F17+F18</f>
        <v>232.227</v>
      </c>
      <c r="G16" s="684">
        <f>IFERROR(F16*100/E16,0)</f>
        <v>80.779385215821463</v>
      </c>
      <c r="H16" s="683">
        <f>+H17+H18</f>
        <v>280.56300000000005</v>
      </c>
      <c r="I16" s="683">
        <f>+I17+I18</f>
        <v>226.37499999999997</v>
      </c>
      <c r="J16" s="707">
        <f>IFERROR(I16*100/H16,0)</f>
        <v>80.685977837419728</v>
      </c>
    </row>
    <row r="17" spans="1:10" s="43" customFormat="1" ht="15" customHeight="1" x14ac:dyDescent="0.25">
      <c r="A17" s="325" t="s">
        <v>291</v>
      </c>
      <c r="B17" s="326">
        <v>209.708</v>
      </c>
      <c r="C17" s="628">
        <v>162.40199999999999</v>
      </c>
      <c r="D17" s="620">
        <f t="shared" si="1"/>
        <v>77.441966925439175</v>
      </c>
      <c r="E17" s="619">
        <v>159.738</v>
      </c>
      <c r="F17" s="628">
        <v>123.301</v>
      </c>
      <c r="G17" s="620">
        <f t="shared" si="4"/>
        <v>77.189522843656491</v>
      </c>
      <c r="H17" s="628">
        <f>+'Pr 3'!D5</f>
        <v>154.21100000000004</v>
      </c>
      <c r="I17" s="327">
        <f>+'Pr 3'!H5</f>
        <v>118.62199999999997</v>
      </c>
      <c r="J17" s="679">
        <f t="shared" si="5"/>
        <v>76.92187976214403</v>
      </c>
    </row>
    <row r="18" spans="1:10" ht="15" customHeight="1" thickBot="1" x14ac:dyDescent="0.3">
      <c r="A18" s="330" t="s">
        <v>292</v>
      </c>
      <c r="B18" s="331">
        <v>170.02099999999999</v>
      </c>
      <c r="C18" s="332">
        <v>132.54900000000001</v>
      </c>
      <c r="D18" s="622">
        <f t="shared" si="1"/>
        <v>77.960369601402192</v>
      </c>
      <c r="E18" s="621">
        <v>127.745</v>
      </c>
      <c r="F18" s="332">
        <v>108.926</v>
      </c>
      <c r="G18" s="622">
        <f t="shared" si="4"/>
        <v>85.2683079572586</v>
      </c>
      <c r="H18" s="332">
        <f>+'Pr 3'!D27</f>
        <v>126.352</v>
      </c>
      <c r="I18" s="332">
        <f>+'Pr 3'!H27</f>
        <v>107.753</v>
      </c>
      <c r="J18" s="333">
        <f t="shared" si="5"/>
        <v>85.280011396732931</v>
      </c>
    </row>
    <row r="20" spans="1:10" x14ac:dyDescent="0.25">
      <c r="A20" s="36"/>
      <c r="B20" s="46"/>
      <c r="C20" s="46"/>
      <c r="D20" s="46"/>
      <c r="E20" s="46"/>
      <c r="F20" s="46"/>
      <c r="G20" s="46"/>
      <c r="H20" s="46"/>
      <c r="I20" s="46"/>
      <c r="J20" s="46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347" customWidth="1"/>
    <col min="2" max="9" width="7.140625" style="4" customWidth="1"/>
    <col min="10" max="16384" width="9.140625" style="4"/>
  </cols>
  <sheetData>
    <row r="1" spans="1:9" ht="15" hidden="1" x14ac:dyDescent="0.2">
      <c r="B1" s="41"/>
      <c r="C1" s="41"/>
      <c r="D1" s="41"/>
    </row>
    <row r="3" spans="1:9" ht="15" customHeight="1" x14ac:dyDescent="0.2">
      <c r="A3" s="712" t="s">
        <v>345</v>
      </c>
      <c r="B3" s="351"/>
      <c r="C3" s="351"/>
      <c r="D3" s="351"/>
      <c r="E3" s="351"/>
      <c r="F3" s="712"/>
      <c r="G3" s="712"/>
      <c r="H3" s="712"/>
      <c r="I3" s="80" t="s">
        <v>3</v>
      </c>
    </row>
    <row r="4" spans="1:9" ht="15" customHeight="1" x14ac:dyDescent="0.2">
      <c r="A4" s="847" t="s">
        <v>184</v>
      </c>
      <c r="B4" s="851" t="s">
        <v>530</v>
      </c>
      <c r="C4" s="852"/>
      <c r="D4" s="852"/>
      <c r="E4" s="853"/>
      <c r="F4" s="851" t="s">
        <v>531</v>
      </c>
      <c r="G4" s="852"/>
      <c r="H4" s="852"/>
      <c r="I4" s="852"/>
    </row>
    <row r="5" spans="1:9" ht="20.25" customHeight="1" x14ac:dyDescent="0.2">
      <c r="A5" s="847"/>
      <c r="B5" s="849" t="s">
        <v>45</v>
      </c>
      <c r="C5" s="850"/>
      <c r="D5" s="850" t="s">
        <v>187</v>
      </c>
      <c r="E5" s="854"/>
      <c r="F5" s="849" t="s">
        <v>45</v>
      </c>
      <c r="G5" s="850"/>
      <c r="H5" s="850" t="s">
        <v>187</v>
      </c>
      <c r="I5" s="850"/>
    </row>
    <row r="6" spans="1:9" ht="15" customHeight="1" x14ac:dyDescent="0.2">
      <c r="A6" s="848"/>
      <c r="B6" s="348" t="s">
        <v>185</v>
      </c>
      <c r="C6" s="349" t="s">
        <v>186</v>
      </c>
      <c r="D6" s="349" t="s">
        <v>185</v>
      </c>
      <c r="E6" s="350" t="s">
        <v>186</v>
      </c>
      <c r="F6" s="348" t="s">
        <v>185</v>
      </c>
      <c r="G6" s="349" t="s">
        <v>186</v>
      </c>
      <c r="H6" s="349" t="s">
        <v>185</v>
      </c>
      <c r="I6" s="349" t="s">
        <v>186</v>
      </c>
    </row>
    <row r="7" spans="1:9" ht="14.1" customHeight="1" x14ac:dyDescent="0.2">
      <c r="A7" s="341" t="s">
        <v>437</v>
      </c>
      <c r="B7" s="656">
        <v>3.4333</v>
      </c>
      <c r="C7" s="657">
        <v>4.1273</v>
      </c>
      <c r="D7" s="657">
        <v>3.1171000000000002</v>
      </c>
      <c r="E7" s="658">
        <v>3.7818999999999998</v>
      </c>
      <c r="F7" s="656">
        <v>3.7675999999999998</v>
      </c>
      <c r="G7" s="657">
        <v>4.4198000000000004</v>
      </c>
      <c r="H7" s="657">
        <v>2.6543999999999999</v>
      </c>
      <c r="I7" s="657">
        <v>3.1133000000000002</v>
      </c>
    </row>
    <row r="8" spans="1:9" ht="14.1" customHeight="1" x14ac:dyDescent="0.2">
      <c r="A8" s="342" t="s">
        <v>438</v>
      </c>
      <c r="B8" s="650">
        <v>3.9866999999999999</v>
      </c>
      <c r="C8" s="651">
        <v>4.9832000000000001</v>
      </c>
      <c r="D8" s="651"/>
      <c r="E8" s="652"/>
      <c r="F8" s="650">
        <v>3.0861999999999998</v>
      </c>
      <c r="G8" s="651">
        <v>3.2244000000000002</v>
      </c>
      <c r="H8" s="651"/>
      <c r="I8" s="651"/>
    </row>
    <row r="9" spans="1:9" ht="14.1" customHeight="1" x14ac:dyDescent="0.2">
      <c r="A9" s="342" t="s">
        <v>439</v>
      </c>
      <c r="B9" s="650">
        <v>3.1515</v>
      </c>
      <c r="C9" s="651">
        <v>3.6495000000000002</v>
      </c>
      <c r="D9" s="651">
        <v>2.9796999999999998</v>
      </c>
      <c r="E9" s="652">
        <v>3.4171</v>
      </c>
      <c r="F9" s="650">
        <v>3.4569999999999999</v>
      </c>
      <c r="G9" s="651">
        <v>3.9371999999999998</v>
      </c>
      <c r="H9" s="651">
        <v>2.5266999999999999</v>
      </c>
      <c r="I9" s="651">
        <v>2.8144</v>
      </c>
    </row>
    <row r="10" spans="1:9" ht="14.1" customHeight="1" x14ac:dyDescent="0.2">
      <c r="A10" s="342" t="s">
        <v>522</v>
      </c>
      <c r="B10" s="650">
        <v>3.3391999999999999</v>
      </c>
      <c r="C10" s="651">
        <v>4.1611000000000002</v>
      </c>
      <c r="D10" s="651"/>
      <c r="E10" s="652"/>
      <c r="F10" s="650">
        <v>3.4</v>
      </c>
      <c r="G10" s="651">
        <v>5.0186999999999999</v>
      </c>
      <c r="H10" s="651"/>
      <c r="I10" s="651"/>
    </row>
    <row r="11" spans="1:9" ht="14.1" customHeight="1" x14ac:dyDescent="0.2">
      <c r="A11" s="342" t="s">
        <v>440</v>
      </c>
      <c r="B11" s="650">
        <v>8.7690999999999999</v>
      </c>
      <c r="C11" s="651">
        <v>13.167899999999999</v>
      </c>
      <c r="D11" s="651">
        <v>8.9718</v>
      </c>
      <c r="E11" s="652">
        <v>19.6631</v>
      </c>
      <c r="F11" s="650">
        <v>8.3589000000000002</v>
      </c>
      <c r="G11" s="651">
        <v>11.5558</v>
      </c>
      <c r="H11" s="651">
        <v>7.2146999999999997</v>
      </c>
      <c r="I11" s="651">
        <v>14.180300000000001</v>
      </c>
    </row>
    <row r="12" spans="1:9" ht="14.1" customHeight="1" x14ac:dyDescent="0.2">
      <c r="A12" s="343" t="s">
        <v>441</v>
      </c>
      <c r="B12" s="653">
        <v>3.7206999999999999</v>
      </c>
      <c r="C12" s="654">
        <v>4.3032000000000004</v>
      </c>
      <c r="D12" s="654">
        <v>7.75</v>
      </c>
      <c r="E12" s="655">
        <v>9.0649999999999995</v>
      </c>
      <c r="F12" s="653">
        <v>5.99</v>
      </c>
      <c r="G12" s="654">
        <v>7.56</v>
      </c>
      <c r="H12" s="654">
        <v>7.75</v>
      </c>
      <c r="I12" s="654">
        <v>9.0500000000000007</v>
      </c>
    </row>
    <row r="13" spans="1:9" ht="14.1" customHeight="1" x14ac:dyDescent="0.2">
      <c r="A13" s="344" t="s">
        <v>442</v>
      </c>
      <c r="B13" s="656">
        <v>5.1734</v>
      </c>
      <c r="C13" s="657">
        <v>6.141</v>
      </c>
      <c r="D13" s="657">
        <v>5.0217999999999998</v>
      </c>
      <c r="E13" s="658">
        <v>6.1257000000000001</v>
      </c>
      <c r="F13" s="656">
        <v>5.1224999999999996</v>
      </c>
      <c r="G13" s="657">
        <v>6.1595000000000004</v>
      </c>
      <c r="H13" s="657">
        <v>5.3643000000000001</v>
      </c>
      <c r="I13" s="657">
        <v>6.4306000000000001</v>
      </c>
    </row>
    <row r="14" spans="1:9" ht="14.1" customHeight="1" x14ac:dyDescent="0.2">
      <c r="A14" s="342" t="s">
        <v>438</v>
      </c>
      <c r="B14" s="650">
        <v>3.8212999999999999</v>
      </c>
      <c r="C14" s="651">
        <v>4.0686</v>
      </c>
      <c r="D14" s="651">
        <v>3.11</v>
      </c>
      <c r="E14" s="652">
        <v>3.26</v>
      </c>
      <c r="F14" s="650">
        <v>3.4287999999999998</v>
      </c>
      <c r="G14" s="651">
        <v>3.5245000000000002</v>
      </c>
      <c r="H14" s="651"/>
      <c r="I14" s="651"/>
    </row>
    <row r="15" spans="1:9" ht="14.1" customHeight="1" x14ac:dyDescent="0.2">
      <c r="A15" s="342" t="s">
        <v>439</v>
      </c>
      <c r="B15" s="650">
        <v>4.7213000000000003</v>
      </c>
      <c r="C15" s="651">
        <v>5.1467999999999998</v>
      </c>
      <c r="D15" s="651">
        <v>3.8673999999999999</v>
      </c>
      <c r="E15" s="652">
        <v>4.1083999999999996</v>
      </c>
      <c r="F15" s="650">
        <v>4.7045000000000003</v>
      </c>
      <c r="G15" s="651">
        <v>5.1440000000000001</v>
      </c>
      <c r="H15" s="651">
        <v>4.1318000000000001</v>
      </c>
      <c r="I15" s="651">
        <v>4.3781999999999996</v>
      </c>
    </row>
    <row r="16" spans="1:9" ht="14.1" customHeight="1" x14ac:dyDescent="0.2">
      <c r="A16" s="342" t="s">
        <v>522</v>
      </c>
      <c r="B16" s="650">
        <v>4.1074999999999999</v>
      </c>
      <c r="C16" s="651">
        <v>4.4001000000000001</v>
      </c>
      <c r="D16" s="651"/>
      <c r="E16" s="652"/>
      <c r="F16" s="650">
        <v>4.0374999999999996</v>
      </c>
      <c r="G16" s="651">
        <v>4.3556999999999997</v>
      </c>
      <c r="H16" s="651"/>
      <c r="I16" s="651"/>
    </row>
    <row r="17" spans="1:9" ht="14.1" customHeight="1" x14ac:dyDescent="0.2">
      <c r="A17" s="342" t="s">
        <v>440</v>
      </c>
      <c r="B17" s="650">
        <v>5.8441000000000001</v>
      </c>
      <c r="C17" s="651">
        <v>7.4363000000000001</v>
      </c>
      <c r="D17" s="651">
        <v>5.9170999999999996</v>
      </c>
      <c r="E17" s="652">
        <v>7.6881000000000004</v>
      </c>
      <c r="F17" s="650">
        <v>5.7098000000000004</v>
      </c>
      <c r="G17" s="651">
        <v>7.2956000000000003</v>
      </c>
      <c r="H17" s="651">
        <v>6.1356000000000002</v>
      </c>
      <c r="I17" s="651">
        <v>7.7150999999999996</v>
      </c>
    </row>
    <row r="18" spans="1:9" ht="14.1" customHeight="1" x14ac:dyDescent="0.2">
      <c r="A18" s="345" t="s">
        <v>443</v>
      </c>
      <c r="B18" s="650">
        <v>3.7166000000000001</v>
      </c>
      <c r="C18" s="651">
        <v>4.2039999999999997</v>
      </c>
      <c r="D18" s="651">
        <v>3.6166999999999998</v>
      </c>
      <c r="E18" s="652">
        <v>4.5553999999999997</v>
      </c>
      <c r="F18" s="650">
        <v>3.6783999999999999</v>
      </c>
      <c r="G18" s="651">
        <v>4.1707999999999998</v>
      </c>
      <c r="H18" s="651">
        <v>3.6172</v>
      </c>
      <c r="I18" s="651">
        <v>4.5925000000000002</v>
      </c>
    </row>
    <row r="19" spans="1:9" ht="14.1" customHeight="1" x14ac:dyDescent="0.2">
      <c r="A19" s="343" t="s">
        <v>441</v>
      </c>
      <c r="B19" s="653">
        <v>3.3203999999999998</v>
      </c>
      <c r="C19" s="654">
        <v>3.742</v>
      </c>
      <c r="D19" s="654">
        <v>3.94</v>
      </c>
      <c r="E19" s="655">
        <v>4.03</v>
      </c>
      <c r="F19" s="653">
        <v>4.6515000000000004</v>
      </c>
      <c r="G19" s="654">
        <v>4.9941000000000004</v>
      </c>
      <c r="H19" s="654"/>
      <c r="I19" s="654"/>
    </row>
    <row r="20" spans="1:9" ht="14.1" customHeight="1" thickBot="1" x14ac:dyDescent="0.25">
      <c r="A20" s="346" t="s">
        <v>444</v>
      </c>
      <c r="B20" s="659">
        <v>4.6597999999999997</v>
      </c>
      <c r="C20" s="660">
        <v>5.5465999999999998</v>
      </c>
      <c r="D20" s="660">
        <v>4.5876000000000001</v>
      </c>
      <c r="E20" s="661">
        <v>5.5914000000000001</v>
      </c>
      <c r="F20" s="659">
        <v>4.7150999999999996</v>
      </c>
      <c r="G20" s="660">
        <v>5.6363000000000003</v>
      </c>
      <c r="H20" s="660">
        <v>4.7096</v>
      </c>
      <c r="I20" s="660">
        <v>5.6292</v>
      </c>
    </row>
    <row r="21" spans="1:9" ht="15" x14ac:dyDescent="0.25">
      <c r="A21" s="845" t="s">
        <v>215</v>
      </c>
      <c r="B21" s="846"/>
      <c r="C21" s="846"/>
      <c r="D21" s="846"/>
      <c r="E21" s="846"/>
      <c r="F21" s="846"/>
      <c r="G21" s="846"/>
      <c r="H21" s="846"/>
      <c r="I21" s="846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1"/>
      <c r="C1" s="41"/>
      <c r="D1" s="41"/>
    </row>
    <row r="3" spans="1:9" ht="15" customHeight="1" x14ac:dyDescent="0.2">
      <c r="A3" s="712" t="s">
        <v>346</v>
      </c>
      <c r="B3" s="712"/>
      <c r="C3" s="712"/>
      <c r="D3" s="712"/>
      <c r="E3" s="712"/>
      <c r="F3" s="712"/>
      <c r="G3" s="712"/>
      <c r="H3" s="712"/>
      <c r="I3" s="80" t="s">
        <v>3</v>
      </c>
    </row>
    <row r="4" spans="1:9" ht="15" customHeight="1" x14ac:dyDescent="0.2">
      <c r="A4" s="861" t="s">
        <v>184</v>
      </c>
      <c r="B4" s="856" t="s">
        <v>530</v>
      </c>
      <c r="C4" s="857"/>
      <c r="D4" s="857"/>
      <c r="E4" s="858"/>
      <c r="F4" s="857" t="s">
        <v>531</v>
      </c>
      <c r="G4" s="857"/>
      <c r="H4" s="857"/>
      <c r="I4" s="857"/>
    </row>
    <row r="5" spans="1:9" ht="21.75" customHeight="1" x14ac:dyDescent="0.2">
      <c r="A5" s="862"/>
      <c r="B5" s="864" t="s">
        <v>45</v>
      </c>
      <c r="C5" s="859"/>
      <c r="D5" s="859" t="s">
        <v>187</v>
      </c>
      <c r="E5" s="860"/>
      <c r="F5" s="859" t="s">
        <v>45</v>
      </c>
      <c r="G5" s="859"/>
      <c r="H5" s="859" t="s">
        <v>187</v>
      </c>
      <c r="I5" s="859"/>
    </row>
    <row r="6" spans="1:9" ht="12" customHeight="1" x14ac:dyDescent="0.2">
      <c r="A6" s="863"/>
      <c r="B6" s="348" t="s">
        <v>185</v>
      </c>
      <c r="C6" s="349" t="s">
        <v>186</v>
      </c>
      <c r="D6" s="349" t="s">
        <v>185</v>
      </c>
      <c r="E6" s="350" t="s">
        <v>186</v>
      </c>
      <c r="F6" s="349" t="s">
        <v>185</v>
      </c>
      <c r="G6" s="349" t="s">
        <v>186</v>
      </c>
      <c r="H6" s="349" t="s">
        <v>185</v>
      </c>
      <c r="I6" s="349" t="s">
        <v>186</v>
      </c>
    </row>
    <row r="7" spans="1:9" ht="14.1" customHeight="1" x14ac:dyDescent="0.2">
      <c r="A7" s="375" t="s">
        <v>525</v>
      </c>
      <c r="B7" s="662">
        <v>0.34760000000000002</v>
      </c>
      <c r="C7" s="663">
        <v>0.34799999999999998</v>
      </c>
      <c r="D7" s="663">
        <v>0.74319999999999997</v>
      </c>
      <c r="E7" s="664">
        <v>0.74650000000000005</v>
      </c>
      <c r="F7" s="663">
        <v>0.67789999999999995</v>
      </c>
      <c r="G7" s="663">
        <v>0.67810000000000004</v>
      </c>
      <c r="H7" s="663">
        <v>0.52429999999999999</v>
      </c>
      <c r="I7" s="663">
        <v>0.52669999999999995</v>
      </c>
    </row>
    <row r="8" spans="1:9" ht="14.1" customHeight="1" x14ac:dyDescent="0.2">
      <c r="A8" s="375" t="s">
        <v>524</v>
      </c>
      <c r="B8" s="662">
        <v>1.3811</v>
      </c>
      <c r="C8" s="663">
        <v>1.391</v>
      </c>
      <c r="D8" s="663">
        <v>1.2641</v>
      </c>
      <c r="E8" s="664">
        <v>1.2645</v>
      </c>
      <c r="F8" s="663">
        <v>1.347</v>
      </c>
      <c r="G8" s="663">
        <v>1.3547</v>
      </c>
      <c r="H8" s="663">
        <v>0.88800000000000001</v>
      </c>
      <c r="I8" s="663">
        <v>0.88859999999999995</v>
      </c>
    </row>
    <row r="9" spans="1:9" ht="14.1" customHeight="1" thickBot="1" x14ac:dyDescent="0.25">
      <c r="A9" s="376" t="s">
        <v>523</v>
      </c>
      <c r="B9" s="665">
        <v>0.93369999999999997</v>
      </c>
      <c r="C9" s="666">
        <v>0.9395</v>
      </c>
      <c r="D9" s="666">
        <v>1.054</v>
      </c>
      <c r="E9" s="667">
        <v>1.0555000000000001</v>
      </c>
      <c r="F9" s="666">
        <v>1.1465000000000001</v>
      </c>
      <c r="G9" s="666">
        <v>1.1518999999999999</v>
      </c>
      <c r="H9" s="666">
        <v>0.80230000000000001</v>
      </c>
      <c r="I9" s="666">
        <v>0.80330000000000001</v>
      </c>
    </row>
    <row r="10" spans="1:9" ht="15" x14ac:dyDescent="0.25">
      <c r="A10" s="855" t="s">
        <v>215</v>
      </c>
      <c r="B10" s="846"/>
      <c r="C10" s="846"/>
      <c r="D10" s="846"/>
      <c r="E10" s="846"/>
      <c r="F10" s="846"/>
      <c r="G10" s="846"/>
      <c r="H10" s="846"/>
      <c r="I10" s="846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223"/>
      <c r="B1" s="29"/>
      <c r="C1" s="29"/>
      <c r="D1" s="29"/>
      <c r="E1" s="29"/>
      <c r="F1" s="29"/>
      <c r="G1" s="29"/>
      <c r="H1" s="29"/>
      <c r="I1" s="223"/>
    </row>
    <row r="3" spans="1:9" ht="15" customHeight="1" x14ac:dyDescent="0.2">
      <c r="A3" s="492" t="s">
        <v>347</v>
      </c>
      <c r="B3" s="492"/>
      <c r="C3" s="492"/>
      <c r="D3" s="492"/>
      <c r="E3" s="492"/>
      <c r="F3" s="492"/>
      <c r="G3" s="492"/>
      <c r="H3" s="65"/>
      <c r="I3" s="80" t="s">
        <v>3</v>
      </c>
    </row>
    <row r="4" spans="1:9" ht="15" customHeight="1" x14ac:dyDescent="0.2">
      <c r="A4" s="861" t="s">
        <v>184</v>
      </c>
      <c r="B4" s="856" t="s">
        <v>530</v>
      </c>
      <c r="C4" s="857"/>
      <c r="D4" s="857"/>
      <c r="E4" s="858"/>
      <c r="F4" s="857" t="s">
        <v>531</v>
      </c>
      <c r="G4" s="857"/>
      <c r="H4" s="857"/>
      <c r="I4" s="857"/>
    </row>
    <row r="5" spans="1:9" ht="24" customHeight="1" x14ac:dyDescent="0.2">
      <c r="A5" s="862"/>
      <c r="B5" s="864" t="s">
        <v>45</v>
      </c>
      <c r="C5" s="859"/>
      <c r="D5" s="859" t="s">
        <v>187</v>
      </c>
      <c r="E5" s="860"/>
      <c r="F5" s="859" t="s">
        <v>45</v>
      </c>
      <c r="G5" s="859"/>
      <c r="H5" s="859" t="s">
        <v>187</v>
      </c>
      <c r="I5" s="859"/>
    </row>
    <row r="6" spans="1:9" ht="12" customHeight="1" x14ac:dyDescent="0.2">
      <c r="A6" s="863"/>
      <c r="B6" s="348" t="s">
        <v>185</v>
      </c>
      <c r="C6" s="349" t="s">
        <v>186</v>
      </c>
      <c r="D6" s="349" t="s">
        <v>185</v>
      </c>
      <c r="E6" s="350" t="s">
        <v>186</v>
      </c>
      <c r="F6" s="349" t="s">
        <v>185</v>
      </c>
      <c r="G6" s="349" t="s">
        <v>186</v>
      </c>
      <c r="H6" s="349" t="s">
        <v>185</v>
      </c>
      <c r="I6" s="349" t="s">
        <v>186</v>
      </c>
    </row>
    <row r="7" spans="1:9" ht="24" x14ac:dyDescent="0.2">
      <c r="A7" s="377" t="s">
        <v>479</v>
      </c>
      <c r="B7" s="668"/>
      <c r="C7" s="669"/>
      <c r="D7" s="669"/>
      <c r="E7" s="670"/>
      <c r="F7" s="669"/>
      <c r="G7" s="669"/>
      <c r="H7" s="669"/>
      <c r="I7" s="669"/>
    </row>
    <row r="8" spans="1:9" ht="14.1" customHeight="1" x14ac:dyDescent="0.2">
      <c r="A8" s="378" t="s">
        <v>511</v>
      </c>
      <c r="B8" s="662">
        <v>7.1651999999999996</v>
      </c>
      <c r="C8" s="663">
        <v>8.3127999999999993</v>
      </c>
      <c r="D8" s="663">
        <v>6.3459000000000003</v>
      </c>
      <c r="E8" s="664">
        <v>6.6090999999999998</v>
      </c>
      <c r="F8" s="663">
        <v>7.3864999999999998</v>
      </c>
      <c r="G8" s="663">
        <v>8.5246999999999993</v>
      </c>
      <c r="H8" s="663">
        <v>6.3901000000000003</v>
      </c>
      <c r="I8" s="663">
        <v>6.6741000000000001</v>
      </c>
    </row>
    <row r="9" spans="1:9" ht="14.1" customHeight="1" x14ac:dyDescent="0.2">
      <c r="A9" s="379" t="s">
        <v>526</v>
      </c>
      <c r="B9" s="671">
        <v>13.321300000000001</v>
      </c>
      <c r="C9" s="672">
        <v>15.9267</v>
      </c>
      <c r="D9" s="672">
        <v>13.8992</v>
      </c>
      <c r="E9" s="673">
        <v>14.5114</v>
      </c>
      <c r="F9" s="672">
        <v>13.2486</v>
      </c>
      <c r="G9" s="672">
        <v>15.8041</v>
      </c>
      <c r="H9" s="672">
        <v>13.6434</v>
      </c>
      <c r="I9" s="672">
        <v>14.264099999999999</v>
      </c>
    </row>
    <row r="10" spans="1:9" ht="14.1" customHeight="1" x14ac:dyDescent="0.2">
      <c r="A10" s="377" t="s">
        <v>480</v>
      </c>
      <c r="B10" s="668"/>
      <c r="C10" s="669"/>
      <c r="D10" s="669"/>
      <c r="E10" s="670"/>
      <c r="F10" s="669"/>
      <c r="G10" s="669"/>
      <c r="H10" s="669"/>
      <c r="I10" s="669"/>
    </row>
    <row r="11" spans="1:9" ht="14.1" customHeight="1" x14ac:dyDescent="0.2">
      <c r="A11" s="378" t="s">
        <v>511</v>
      </c>
      <c r="B11" s="662">
        <v>4.1099999999999998E-2</v>
      </c>
      <c r="C11" s="663">
        <v>4.1099999999999998E-2</v>
      </c>
      <c r="D11" s="663">
        <v>1.5599999999999999E-2</v>
      </c>
      <c r="E11" s="664">
        <v>1.5599999999999999E-2</v>
      </c>
      <c r="F11" s="663">
        <v>3.3700000000000001E-2</v>
      </c>
      <c r="G11" s="663">
        <v>0.17280000000000001</v>
      </c>
      <c r="H11" s="663">
        <v>1.7100000000000001E-2</v>
      </c>
      <c r="I11" s="663">
        <v>1.7100000000000001E-2</v>
      </c>
    </row>
    <row r="12" spans="1:9" ht="14.1" customHeight="1" thickBot="1" x14ac:dyDescent="0.25">
      <c r="A12" s="380" t="s">
        <v>527</v>
      </c>
      <c r="B12" s="674">
        <v>2.3900000000000001E-2</v>
      </c>
      <c r="C12" s="675">
        <v>2.3900000000000001E-2</v>
      </c>
      <c r="D12" s="675">
        <v>2.1499999999999998E-2</v>
      </c>
      <c r="E12" s="676">
        <v>2.1499999999999998E-2</v>
      </c>
      <c r="F12" s="675">
        <v>1.89E-2</v>
      </c>
      <c r="G12" s="675">
        <v>0.31240000000000001</v>
      </c>
      <c r="H12" s="675">
        <v>2.47E-2</v>
      </c>
      <c r="I12" s="675">
        <v>2.47E-2</v>
      </c>
    </row>
    <row r="13" spans="1:9" ht="15" x14ac:dyDescent="0.25">
      <c r="A13" s="381" t="s">
        <v>215</v>
      </c>
      <c r="B13" s="382"/>
      <c r="C13" s="382"/>
      <c r="D13" s="382"/>
      <c r="E13" s="382"/>
      <c r="F13" s="382"/>
      <c r="G13" s="382"/>
      <c r="H13" s="382"/>
      <c r="I13" s="382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/>
  <dimension ref="A1:H28"/>
  <sheetViews>
    <sheetView zoomScaleNormal="100" workbookViewId="0">
      <selection activeCell="A2" sqref="A2"/>
    </sheetView>
  </sheetViews>
  <sheetFormatPr defaultRowHeight="15" x14ac:dyDescent="0.25"/>
  <cols>
    <col min="1" max="1" width="6.5703125" style="50" customWidth="1"/>
    <col min="2" max="2" width="49.7109375" style="50" customWidth="1"/>
    <col min="3" max="4" width="7.5703125" style="50" customWidth="1"/>
    <col min="5" max="6" width="8.5703125" style="50" customWidth="1"/>
    <col min="7" max="7" width="9.140625" style="64" hidden="1" customWidth="1"/>
  </cols>
  <sheetData>
    <row r="1" spans="1:7" s="50" customFormat="1" x14ac:dyDescent="0.25">
      <c r="G1" s="64"/>
    </row>
    <row r="2" spans="1:7" s="15" customFormat="1" x14ac:dyDescent="0.25">
      <c r="A2" s="65" t="s">
        <v>7</v>
      </c>
      <c r="B2" s="65"/>
      <c r="C2" s="65"/>
      <c r="D2" s="65"/>
      <c r="E2" s="65"/>
      <c r="F2" s="423" t="s">
        <v>399</v>
      </c>
      <c r="G2" s="64"/>
    </row>
    <row r="3" spans="1:7" ht="15.75" customHeight="1" x14ac:dyDescent="0.25">
      <c r="A3" s="865" t="s">
        <v>12</v>
      </c>
      <c r="B3" s="866"/>
      <c r="C3" s="334" t="s">
        <v>529</v>
      </c>
      <c r="D3" s="335" t="s">
        <v>530</v>
      </c>
      <c r="E3" s="335" t="s">
        <v>531</v>
      </c>
      <c r="F3" s="384" t="s">
        <v>11</v>
      </c>
    </row>
    <row r="4" spans="1:7" ht="14.1" customHeight="1" x14ac:dyDescent="0.25">
      <c r="A4" s="385" t="s">
        <v>4</v>
      </c>
      <c r="B4" s="386" t="s">
        <v>66</v>
      </c>
      <c r="C4" s="387">
        <v>976.42200000000003</v>
      </c>
      <c r="D4" s="388">
        <v>1018.213</v>
      </c>
      <c r="E4" s="388">
        <v>1006.4160000000001</v>
      </c>
      <c r="F4" s="389">
        <f t="shared" ref="F4:F13" si="0">IF(D4&gt;0,E4*100/D4,"-")</f>
        <v>98.841401553506003</v>
      </c>
      <c r="G4" s="64" t="s">
        <v>304</v>
      </c>
    </row>
    <row r="5" spans="1:7" ht="14.1" customHeight="1" x14ac:dyDescent="0.25">
      <c r="A5" s="390" t="s">
        <v>67</v>
      </c>
      <c r="B5" s="391" t="s">
        <v>68</v>
      </c>
      <c r="C5" s="392">
        <v>899.63699999999994</v>
      </c>
      <c r="D5" s="393">
        <v>922.92600000000004</v>
      </c>
      <c r="E5" s="393">
        <v>924.63099999999997</v>
      </c>
      <c r="F5" s="394">
        <f t="shared" si="0"/>
        <v>100.18473853808429</v>
      </c>
      <c r="G5" s="64" t="s">
        <v>305</v>
      </c>
    </row>
    <row r="6" spans="1:7" ht="14.1" customHeight="1" x14ac:dyDescent="0.25">
      <c r="A6" s="385" t="s">
        <v>104</v>
      </c>
      <c r="B6" s="386" t="s">
        <v>100</v>
      </c>
      <c r="C6" s="387">
        <v>898.09100000000001</v>
      </c>
      <c r="D6" s="388">
        <v>916.92600000000004</v>
      </c>
      <c r="E6" s="388">
        <v>918.63099999999997</v>
      </c>
      <c r="F6" s="389">
        <f t="shared" si="0"/>
        <v>100.18594739379185</v>
      </c>
      <c r="G6" s="64" t="s">
        <v>306</v>
      </c>
    </row>
    <row r="7" spans="1:7" ht="14.1" customHeight="1" x14ac:dyDescent="0.25">
      <c r="A7" s="395" t="s">
        <v>69</v>
      </c>
      <c r="B7" s="396" t="s">
        <v>70</v>
      </c>
      <c r="C7" s="397">
        <v>637.96100000000001</v>
      </c>
      <c r="D7" s="398">
        <v>652.96100000000001</v>
      </c>
      <c r="E7" s="398">
        <v>652.96100000000001</v>
      </c>
      <c r="F7" s="399">
        <f t="shared" si="0"/>
        <v>100</v>
      </c>
      <c r="G7" s="64" t="s">
        <v>307</v>
      </c>
    </row>
    <row r="8" spans="1:7" ht="14.1" customHeight="1" x14ac:dyDescent="0.25">
      <c r="A8" s="395" t="s">
        <v>71</v>
      </c>
      <c r="B8" s="396" t="s">
        <v>72</v>
      </c>
      <c r="C8" s="397">
        <v>25.141999999999999</v>
      </c>
      <c r="D8" s="398">
        <v>25.141999999999999</v>
      </c>
      <c r="E8" s="398">
        <v>25.141999999999999</v>
      </c>
      <c r="F8" s="399">
        <f t="shared" si="0"/>
        <v>100</v>
      </c>
      <c r="G8" s="64" t="s">
        <v>308</v>
      </c>
    </row>
    <row r="9" spans="1:7" s="50" customFormat="1" ht="38.25" customHeight="1" x14ac:dyDescent="0.25">
      <c r="A9" s="395" t="s">
        <v>73</v>
      </c>
      <c r="B9" s="396" t="s">
        <v>310</v>
      </c>
      <c r="C9" s="397">
        <v>0</v>
      </c>
      <c r="D9" s="398">
        <v>0</v>
      </c>
      <c r="E9" s="398">
        <v>0</v>
      </c>
      <c r="F9" s="389" t="str">
        <f t="shared" si="0"/>
        <v>-</v>
      </c>
      <c r="G9" s="64" t="s">
        <v>309</v>
      </c>
    </row>
    <row r="10" spans="1:7" ht="14.1" customHeight="1" x14ac:dyDescent="0.25">
      <c r="A10" s="395" t="s">
        <v>75</v>
      </c>
      <c r="B10" s="396" t="s">
        <v>74</v>
      </c>
      <c r="C10" s="397">
        <v>53.771999999999998</v>
      </c>
      <c r="D10" s="398">
        <v>108.137</v>
      </c>
      <c r="E10" s="398">
        <v>108.137</v>
      </c>
      <c r="F10" s="399">
        <f t="shared" si="0"/>
        <v>100</v>
      </c>
      <c r="G10" s="64" t="s">
        <v>311</v>
      </c>
    </row>
    <row r="11" spans="1:7" ht="14.1" customHeight="1" x14ac:dyDescent="0.25">
      <c r="A11" s="395" t="s">
        <v>77</v>
      </c>
      <c r="B11" s="396" t="s">
        <v>76</v>
      </c>
      <c r="C11" s="397">
        <v>0</v>
      </c>
      <c r="D11" s="398">
        <v>0</v>
      </c>
      <c r="E11" s="398">
        <v>0</v>
      </c>
      <c r="F11" s="389" t="str">
        <f t="shared" si="0"/>
        <v>-</v>
      </c>
      <c r="G11" s="64" t="s">
        <v>312</v>
      </c>
    </row>
    <row r="12" spans="1:7" ht="14.1" customHeight="1" x14ac:dyDescent="0.25">
      <c r="A12" s="395" t="s">
        <v>79</v>
      </c>
      <c r="B12" s="396" t="s">
        <v>78</v>
      </c>
      <c r="C12" s="397">
        <v>15.643000000000001</v>
      </c>
      <c r="D12" s="398">
        <v>16.286999999999999</v>
      </c>
      <c r="E12" s="398">
        <v>16.641999999999999</v>
      </c>
      <c r="F12" s="399">
        <f t="shared" si="0"/>
        <v>102.17965248357586</v>
      </c>
      <c r="G12" s="64" t="s">
        <v>313</v>
      </c>
    </row>
    <row r="13" spans="1:7" ht="14.1" customHeight="1" x14ac:dyDescent="0.25">
      <c r="A13" s="395" t="s">
        <v>81</v>
      </c>
      <c r="B13" s="396" t="s">
        <v>80</v>
      </c>
      <c r="C13" s="397">
        <v>207.03100000000001</v>
      </c>
      <c r="D13" s="398">
        <v>146.70400000000001</v>
      </c>
      <c r="E13" s="398">
        <v>146.70400000000001</v>
      </c>
      <c r="F13" s="399">
        <f t="shared" si="0"/>
        <v>100</v>
      </c>
      <c r="G13" s="64" t="s">
        <v>314</v>
      </c>
    </row>
    <row r="14" spans="1:7" ht="14.1" customHeight="1" x14ac:dyDescent="0.25">
      <c r="A14" s="395" t="s">
        <v>82</v>
      </c>
      <c r="B14" s="396" t="s">
        <v>101</v>
      </c>
      <c r="C14" s="397">
        <v>-26.538</v>
      </c>
      <c r="D14" s="398">
        <v>-28.841000000000001</v>
      </c>
      <c r="E14" s="398">
        <v>-27.791</v>
      </c>
      <c r="F14" s="399">
        <f>IF(D14&lt;&gt;0,E14*100/D14,"-")</f>
        <v>96.359349537117296</v>
      </c>
      <c r="G14" s="64" t="s">
        <v>315</v>
      </c>
    </row>
    <row r="15" spans="1:7" ht="39.75" customHeight="1" x14ac:dyDescent="0.25">
      <c r="A15" s="395" t="s">
        <v>83</v>
      </c>
      <c r="B15" s="396" t="s">
        <v>217</v>
      </c>
      <c r="C15" s="397">
        <v>-1</v>
      </c>
      <c r="D15" s="398">
        <v>-1.1479999999999999</v>
      </c>
      <c r="E15" s="398">
        <v>-1.117</v>
      </c>
      <c r="F15" s="399">
        <f>IF(D15&lt;&gt;0,E15*100/D15,"-")</f>
        <v>97.299651567944267</v>
      </c>
      <c r="G15" s="64" t="s">
        <v>317</v>
      </c>
    </row>
    <row r="16" spans="1:7" ht="24" x14ac:dyDescent="0.25">
      <c r="A16" s="395" t="s">
        <v>216</v>
      </c>
      <c r="B16" s="396" t="s">
        <v>84</v>
      </c>
      <c r="C16" s="397">
        <v>-13.906000000000001</v>
      </c>
      <c r="D16" s="398">
        <v>0</v>
      </c>
      <c r="E16" s="398">
        <v>0</v>
      </c>
      <c r="F16" s="399" t="str">
        <f>IF(D16&gt;0,E16*100/D16,"-")</f>
        <v>-</v>
      </c>
      <c r="G16" s="64" t="s">
        <v>318</v>
      </c>
    </row>
    <row r="17" spans="1:8" s="15" customFormat="1" ht="24.75" customHeight="1" x14ac:dyDescent="0.25">
      <c r="A17" s="395" t="s">
        <v>316</v>
      </c>
      <c r="B17" s="396" t="s">
        <v>218</v>
      </c>
      <c r="C17" s="397">
        <v>-1.6E-2</v>
      </c>
      <c r="D17" s="398">
        <v>-2.3180000000000001</v>
      </c>
      <c r="E17" s="398">
        <v>-2.0470000000000002</v>
      </c>
      <c r="F17" s="399">
        <f>IF(D17&lt;&gt;0,E17*100/D17,"-")</f>
        <v>88.308886971527187</v>
      </c>
      <c r="G17" s="64" t="s">
        <v>319</v>
      </c>
    </row>
    <row r="18" spans="1:8" ht="14.1" customHeight="1" x14ac:dyDescent="0.25">
      <c r="A18" s="385" t="s">
        <v>105</v>
      </c>
      <c r="B18" s="386" t="s">
        <v>102</v>
      </c>
      <c r="C18" s="387">
        <v>1.546</v>
      </c>
      <c r="D18" s="388">
        <v>6</v>
      </c>
      <c r="E18" s="388">
        <v>6</v>
      </c>
      <c r="F18" s="389">
        <f t="shared" ref="F18:F26" si="1">IF(D18&gt;0,E18*100/D18,"-")</f>
        <v>100</v>
      </c>
      <c r="G18" s="64" t="s">
        <v>320</v>
      </c>
    </row>
    <row r="19" spans="1:8" ht="14.1" customHeight="1" x14ac:dyDescent="0.25">
      <c r="A19" s="395" t="s">
        <v>85</v>
      </c>
      <c r="B19" s="396" t="s">
        <v>86</v>
      </c>
      <c r="C19" s="397">
        <v>6</v>
      </c>
      <c r="D19" s="398">
        <v>6</v>
      </c>
      <c r="E19" s="398">
        <v>6</v>
      </c>
      <c r="F19" s="399">
        <f t="shared" si="1"/>
        <v>100</v>
      </c>
      <c r="G19" s="64" t="s">
        <v>321</v>
      </c>
    </row>
    <row r="20" spans="1:8" ht="24" x14ac:dyDescent="0.25">
      <c r="A20" s="395" t="s">
        <v>87</v>
      </c>
      <c r="B20" s="396" t="s">
        <v>88</v>
      </c>
      <c r="C20" s="397">
        <v>-18.36</v>
      </c>
      <c r="D20" s="398">
        <v>0</v>
      </c>
      <c r="E20" s="398">
        <v>0</v>
      </c>
      <c r="F20" s="399" t="str">
        <f t="shared" si="1"/>
        <v>-</v>
      </c>
      <c r="G20" s="64" t="s">
        <v>322</v>
      </c>
    </row>
    <row r="21" spans="1:8" ht="36" x14ac:dyDescent="0.25">
      <c r="A21" s="400" t="s">
        <v>89</v>
      </c>
      <c r="B21" s="401" t="s">
        <v>90</v>
      </c>
      <c r="C21" s="402">
        <v>13.906000000000001</v>
      </c>
      <c r="D21" s="403">
        <v>0</v>
      </c>
      <c r="E21" s="403">
        <v>0</v>
      </c>
      <c r="F21" s="404" t="str">
        <f t="shared" si="1"/>
        <v>-</v>
      </c>
      <c r="G21" s="64" t="s">
        <v>323</v>
      </c>
    </row>
    <row r="22" spans="1:8" ht="14.1" customHeight="1" x14ac:dyDescent="0.25">
      <c r="A22" s="385" t="s">
        <v>91</v>
      </c>
      <c r="B22" s="386" t="s">
        <v>103</v>
      </c>
      <c r="C22" s="387">
        <v>76.784000000000006</v>
      </c>
      <c r="D22" s="388">
        <v>95.287999999999997</v>
      </c>
      <c r="E22" s="388">
        <v>81.784999999999997</v>
      </c>
      <c r="F22" s="389">
        <f t="shared" si="1"/>
        <v>85.829275459659144</v>
      </c>
      <c r="G22" s="64" t="s">
        <v>324</v>
      </c>
    </row>
    <row r="23" spans="1:8" ht="24" x14ac:dyDescent="0.25">
      <c r="A23" s="395" t="s">
        <v>92</v>
      </c>
      <c r="B23" s="396" t="s">
        <v>93</v>
      </c>
      <c r="C23" s="397">
        <v>49.265999999999998</v>
      </c>
      <c r="D23" s="398">
        <v>47.28</v>
      </c>
      <c r="E23" s="398">
        <v>46.572000000000003</v>
      </c>
      <c r="F23" s="399">
        <f t="shared" si="1"/>
        <v>98.502538071065999</v>
      </c>
      <c r="G23" s="64" t="s">
        <v>325</v>
      </c>
    </row>
    <row r="24" spans="1:8" ht="24" x14ac:dyDescent="0.25">
      <c r="A24" s="395" t="s">
        <v>94</v>
      </c>
      <c r="B24" s="396" t="s">
        <v>95</v>
      </c>
      <c r="C24" s="397">
        <v>55.344999999999999</v>
      </c>
      <c r="D24" s="398">
        <v>48.008000000000003</v>
      </c>
      <c r="E24" s="398">
        <v>35.213000000000001</v>
      </c>
      <c r="F24" s="399">
        <f t="shared" si="1"/>
        <v>73.348191968005338</v>
      </c>
      <c r="G24" s="64" t="s">
        <v>326</v>
      </c>
    </row>
    <row r="25" spans="1:8" ht="24.75" customHeight="1" x14ac:dyDescent="0.25">
      <c r="A25" s="395" t="s">
        <v>96</v>
      </c>
      <c r="B25" s="396" t="s">
        <v>97</v>
      </c>
      <c r="C25" s="397">
        <v>18.36</v>
      </c>
      <c r="D25" s="398">
        <v>0</v>
      </c>
      <c r="E25" s="398">
        <v>0</v>
      </c>
      <c r="F25" s="399" t="str">
        <f t="shared" si="1"/>
        <v>-</v>
      </c>
      <c r="G25" s="64" t="s">
        <v>327</v>
      </c>
    </row>
    <row r="26" spans="1:8" ht="24.75" thickBot="1" x14ac:dyDescent="0.3">
      <c r="A26" s="405" t="s">
        <v>98</v>
      </c>
      <c r="B26" s="406" t="s">
        <v>99</v>
      </c>
      <c r="C26" s="407">
        <v>-46.186</v>
      </c>
      <c r="D26" s="408">
        <v>0</v>
      </c>
      <c r="E26" s="408">
        <v>0</v>
      </c>
      <c r="F26" s="409" t="str">
        <f t="shared" si="1"/>
        <v>-</v>
      </c>
      <c r="G26" s="64" t="s">
        <v>328</v>
      </c>
    </row>
    <row r="27" spans="1:8" s="15" customFormat="1" x14ac:dyDescent="0.25">
      <c r="A27" s="50"/>
      <c r="B27" s="50"/>
      <c r="C27" s="50"/>
      <c r="D27" s="50"/>
      <c r="E27" s="50"/>
      <c r="F27" s="50"/>
      <c r="G27" s="4"/>
      <c r="H27" s="50"/>
    </row>
    <row r="28" spans="1:8" s="15" customFormat="1" x14ac:dyDescent="0.25">
      <c r="A28" s="50"/>
      <c r="B28" s="50"/>
      <c r="C28" s="50"/>
      <c r="D28" s="50"/>
      <c r="E28" s="50"/>
      <c r="F28" s="50"/>
      <c r="G28" s="4"/>
      <c r="H28" s="50"/>
    </row>
  </sheetData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1">
    <mergeCell ref="A3:B3"/>
  </mergeCells>
  <pageMargins left="0.7" right="0.7" top="0.75" bottom="0.75" header="0.3" footer="0.3"/>
  <pageSetup paperSize="9" scale="79" orientation="portrait" verticalDpi="0" r:id="rId3"/>
  <ignoredErrors>
    <ignoredError sqref="F16:F17" formula="1"/>
    <ignoredError sqref="G4:G26" numberStoredAsText="1"/>
  </ignoredErrors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50" customWidth="1"/>
    <col min="2" max="5" width="11.5703125" style="50" customWidth="1"/>
  </cols>
  <sheetData>
    <row r="1" spans="1:5" s="50" customFormat="1" hidden="1" x14ac:dyDescent="0.25">
      <c r="B1" s="41"/>
      <c r="C1" s="41"/>
      <c r="D1" s="41"/>
    </row>
    <row r="2" spans="1:5" s="15" customFormat="1" x14ac:dyDescent="0.25">
      <c r="A2" s="410"/>
      <c r="B2" s="50"/>
      <c r="C2" s="50"/>
      <c r="D2" s="50"/>
      <c r="E2" s="50"/>
    </row>
    <row r="3" spans="1:5" x14ac:dyDescent="0.25">
      <c r="A3" s="65" t="s">
        <v>348</v>
      </c>
      <c r="B3" s="65"/>
      <c r="C3" s="65"/>
      <c r="D3" s="65"/>
      <c r="E3" s="423" t="s">
        <v>399</v>
      </c>
    </row>
    <row r="4" spans="1:5" x14ac:dyDescent="0.25">
      <c r="A4" s="340" t="s">
        <v>12</v>
      </c>
      <c r="B4" s="411" t="s">
        <v>529</v>
      </c>
      <c r="C4" s="412" t="s">
        <v>530</v>
      </c>
      <c r="D4" s="412" t="s">
        <v>531</v>
      </c>
      <c r="E4" s="384" t="s">
        <v>11</v>
      </c>
    </row>
    <row r="5" spans="1:5" ht="14.1" customHeight="1" x14ac:dyDescent="0.25">
      <c r="A5" s="413" t="s">
        <v>106</v>
      </c>
      <c r="B5" s="414">
        <f>SUM(B6:B8)</f>
        <v>5333.1419999999998</v>
      </c>
      <c r="C5" s="415">
        <f>SUM(C6:C8)</f>
        <v>5267.1559999999999</v>
      </c>
      <c r="D5" s="415">
        <f>SUM(D6:D8)</f>
        <v>5348.3850000000002</v>
      </c>
      <c r="E5" s="416">
        <f>IF(C5&gt;0,D5*100/C5,"-")</f>
        <v>101.54217949876556</v>
      </c>
    </row>
    <row r="6" spans="1:5" ht="14.1" customHeight="1" x14ac:dyDescent="0.25">
      <c r="A6" s="417" t="s">
        <v>481</v>
      </c>
      <c r="B6" s="290">
        <v>4545.0069999999996</v>
      </c>
      <c r="C6" s="418">
        <v>4525.4719999999998</v>
      </c>
      <c r="D6" s="418">
        <v>4531.9089999999997</v>
      </c>
      <c r="E6" s="271">
        <f t="shared" ref="E6:E8" si="0">IF(C6&gt;0,D6*100/C6,"-")</f>
        <v>100.14223930675077</v>
      </c>
    </row>
    <row r="7" spans="1:5" ht="14.1" customHeight="1" x14ac:dyDescent="0.25">
      <c r="A7" s="417" t="s">
        <v>482</v>
      </c>
      <c r="B7" s="290">
        <v>144.04400000000001</v>
      </c>
      <c r="C7" s="418">
        <v>94.861000000000004</v>
      </c>
      <c r="D7" s="418">
        <v>169.65299999999999</v>
      </c>
      <c r="E7" s="271">
        <f t="shared" si="0"/>
        <v>178.84378195464942</v>
      </c>
    </row>
    <row r="8" spans="1:5" ht="14.1" customHeight="1" thickBot="1" x14ac:dyDescent="0.3">
      <c r="A8" s="419" t="s">
        <v>483</v>
      </c>
      <c r="B8" s="420">
        <v>644.09100000000001</v>
      </c>
      <c r="C8" s="421">
        <v>646.82299999999998</v>
      </c>
      <c r="D8" s="421">
        <v>646.82299999999998</v>
      </c>
      <c r="E8" s="422">
        <f t="shared" si="0"/>
        <v>100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23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50" hidden="1" customWidth="1"/>
    <col min="2" max="2" width="37.42578125" style="50" customWidth="1"/>
    <col min="3" max="6" width="12.5703125" style="50" customWidth="1"/>
    <col min="7" max="9" width="8.7109375" style="50"/>
    <col min="10" max="10" width="11.28515625" style="50" customWidth="1"/>
    <col min="11" max="16384" width="8.7109375" style="50"/>
  </cols>
  <sheetData>
    <row r="1" spans="2:6" x14ac:dyDescent="0.25">
      <c r="F1" s="677" t="s">
        <v>531</v>
      </c>
    </row>
    <row r="2" spans="2:6" x14ac:dyDescent="0.25">
      <c r="B2" s="65" t="s">
        <v>329</v>
      </c>
      <c r="C2" s="66"/>
      <c r="D2" s="66"/>
      <c r="E2" s="66"/>
      <c r="F2" s="66"/>
    </row>
    <row r="3" spans="2:6" ht="33.75" x14ac:dyDescent="0.25">
      <c r="B3" s="67" t="s">
        <v>406</v>
      </c>
      <c r="C3" s="68" t="s">
        <v>133</v>
      </c>
      <c r="D3" s="68" t="s">
        <v>394</v>
      </c>
      <c r="E3" s="68" t="s">
        <v>395</v>
      </c>
      <c r="F3" s="68" t="s">
        <v>29</v>
      </c>
    </row>
    <row r="4" spans="2:6" x14ac:dyDescent="0.25">
      <c r="B4" s="69" t="s">
        <v>392</v>
      </c>
      <c r="C4" s="70"/>
      <c r="D4" s="70"/>
      <c r="E4" s="70"/>
      <c r="F4" s="70"/>
    </row>
    <row r="5" spans="2:6" ht="14.1" customHeight="1" x14ac:dyDescent="0.25">
      <c r="B5" s="71" t="s">
        <v>532</v>
      </c>
      <c r="C5" s="72">
        <v>15</v>
      </c>
      <c r="D5" s="72">
        <v>51</v>
      </c>
      <c r="E5" s="72">
        <v>2391</v>
      </c>
      <c r="F5" s="72">
        <v>108</v>
      </c>
    </row>
    <row r="6" spans="2:6" ht="14.1" customHeight="1" x14ac:dyDescent="0.25">
      <c r="B6" s="71" t="s">
        <v>533</v>
      </c>
      <c r="C6" s="72">
        <v>36</v>
      </c>
      <c r="D6" s="72"/>
      <c r="E6" s="72">
        <v>8</v>
      </c>
      <c r="F6" s="72">
        <v>58</v>
      </c>
    </row>
    <row r="7" spans="2:6" ht="14.1" customHeight="1" x14ac:dyDescent="0.25">
      <c r="B7" s="71" t="s">
        <v>534</v>
      </c>
      <c r="C7" s="72">
        <v>9</v>
      </c>
      <c r="D7" s="72">
        <v>38</v>
      </c>
      <c r="E7" s="72">
        <v>2319</v>
      </c>
      <c r="F7" s="72">
        <v>72</v>
      </c>
    </row>
    <row r="8" spans="2:6" ht="14.1" customHeight="1" x14ac:dyDescent="0.25">
      <c r="B8" s="71" t="s">
        <v>535</v>
      </c>
      <c r="C8" s="72">
        <v>12</v>
      </c>
      <c r="D8" s="72">
        <v>15</v>
      </c>
      <c r="E8" s="72">
        <v>1273</v>
      </c>
      <c r="F8" s="72">
        <v>43</v>
      </c>
    </row>
    <row r="9" spans="2:6" ht="14.1" customHeight="1" x14ac:dyDescent="0.25">
      <c r="B9" s="71" t="s">
        <v>536</v>
      </c>
      <c r="C9" s="72">
        <v>29</v>
      </c>
      <c r="D9" s="72"/>
      <c r="E9" s="72">
        <v>0</v>
      </c>
      <c r="F9" s="72">
        <v>51</v>
      </c>
    </row>
    <row r="10" spans="2:6" ht="14.1" customHeight="1" x14ac:dyDescent="0.25">
      <c r="B10" s="71" t="s">
        <v>537</v>
      </c>
      <c r="C10" s="72">
        <v>12</v>
      </c>
      <c r="D10" s="72">
        <v>16</v>
      </c>
      <c r="E10" s="72">
        <v>0</v>
      </c>
      <c r="F10" s="72">
        <v>27</v>
      </c>
    </row>
    <row r="11" spans="2:6" ht="14.1" customHeight="1" x14ac:dyDescent="0.25">
      <c r="B11" s="71" t="s">
        <v>538</v>
      </c>
      <c r="C11" s="72">
        <v>10</v>
      </c>
      <c r="D11" s="72">
        <v>9</v>
      </c>
      <c r="E11" s="72">
        <v>13</v>
      </c>
      <c r="F11" s="72">
        <v>25</v>
      </c>
    </row>
    <row r="12" spans="2:6" ht="14.1" customHeight="1" x14ac:dyDescent="0.25">
      <c r="B12" s="71" t="s">
        <v>539</v>
      </c>
      <c r="C12" s="72">
        <v>6</v>
      </c>
      <c r="D12" s="72">
        <v>21</v>
      </c>
      <c r="E12" s="72">
        <v>0</v>
      </c>
      <c r="F12" s="72">
        <v>10</v>
      </c>
    </row>
    <row r="13" spans="2:6" ht="15" customHeight="1" x14ac:dyDescent="0.25">
      <c r="B13" s="73" t="s">
        <v>396</v>
      </c>
      <c r="C13" s="74">
        <f>SUM(C5:C12)</f>
        <v>129</v>
      </c>
      <c r="D13" s="74">
        <f>SUM(D5:D12)</f>
        <v>150</v>
      </c>
      <c r="E13" s="74">
        <f t="shared" ref="E13:F13" si="0">SUM(E5:E12)</f>
        <v>6004</v>
      </c>
      <c r="F13" s="74">
        <f t="shared" si="0"/>
        <v>394</v>
      </c>
    </row>
    <row r="14" spans="2:6" x14ac:dyDescent="0.25">
      <c r="B14" s="75" t="s">
        <v>393</v>
      </c>
      <c r="C14" s="76"/>
      <c r="D14" s="76"/>
      <c r="E14" s="76"/>
      <c r="F14" s="76"/>
    </row>
    <row r="15" spans="2:6" ht="14.1" customHeight="1" x14ac:dyDescent="0.25">
      <c r="B15" s="71" t="s">
        <v>540</v>
      </c>
      <c r="C15" s="72">
        <v>4</v>
      </c>
      <c r="D15" s="72"/>
      <c r="E15" s="72">
        <v>1098</v>
      </c>
      <c r="F15" s="72">
        <v>12</v>
      </c>
    </row>
    <row r="16" spans="2:6" ht="14.1" customHeight="1" x14ac:dyDescent="0.25">
      <c r="B16" s="71" t="s">
        <v>541</v>
      </c>
      <c r="C16" s="72">
        <v>1</v>
      </c>
      <c r="D16" s="72">
        <v>1</v>
      </c>
      <c r="E16" s="72">
        <v>0</v>
      </c>
      <c r="F16" s="72">
        <v>7</v>
      </c>
    </row>
    <row r="17" spans="2:6" ht="14.1" customHeight="1" x14ac:dyDescent="0.25">
      <c r="B17" s="71" t="s">
        <v>542</v>
      </c>
      <c r="C17" s="72">
        <v>8</v>
      </c>
      <c r="D17" s="72">
        <v>19</v>
      </c>
      <c r="E17" s="72">
        <v>1579</v>
      </c>
      <c r="F17" s="72">
        <v>65</v>
      </c>
    </row>
    <row r="18" spans="2:6" ht="14.1" customHeight="1" x14ac:dyDescent="0.25">
      <c r="B18" s="71" t="s">
        <v>543</v>
      </c>
      <c r="C18" s="72">
        <v>3</v>
      </c>
      <c r="D18" s="72">
        <v>3</v>
      </c>
      <c r="E18" s="72">
        <v>9</v>
      </c>
      <c r="F18" s="72">
        <v>10</v>
      </c>
    </row>
    <row r="19" spans="2:6" ht="14.1" customHeight="1" x14ac:dyDescent="0.25">
      <c r="B19" s="71" t="s">
        <v>544</v>
      </c>
      <c r="C19" s="72">
        <v>6</v>
      </c>
      <c r="D19" s="72"/>
      <c r="E19" s="72">
        <v>0</v>
      </c>
      <c r="F19" s="72">
        <v>11</v>
      </c>
    </row>
    <row r="20" spans="2:6" ht="14.1" customHeight="1" x14ac:dyDescent="0.25">
      <c r="B20" s="71" t="s">
        <v>545</v>
      </c>
      <c r="C20" s="72">
        <v>3</v>
      </c>
      <c r="D20" s="72"/>
      <c r="E20" s="72">
        <v>17</v>
      </c>
      <c r="F20" s="72">
        <v>6</v>
      </c>
    </row>
    <row r="21" spans="2:6" ht="14.1" customHeight="1" x14ac:dyDescent="0.25">
      <c r="B21" s="71" t="s">
        <v>546</v>
      </c>
      <c r="C21" s="72">
        <v>3</v>
      </c>
      <c r="D21" s="72"/>
      <c r="E21" s="72">
        <v>0</v>
      </c>
      <c r="F21" s="72">
        <v>5</v>
      </c>
    </row>
    <row r="22" spans="2:6" x14ac:dyDescent="0.25">
      <c r="B22" s="77" t="s">
        <v>397</v>
      </c>
      <c r="C22" s="74">
        <f>SUM(C15:C21)</f>
        <v>28</v>
      </c>
      <c r="D22" s="74">
        <f t="shared" ref="D22:F22" si="1">SUM(D15:D21)</f>
        <v>23</v>
      </c>
      <c r="E22" s="74">
        <f t="shared" si="1"/>
        <v>2703</v>
      </c>
      <c r="F22" s="74">
        <f t="shared" si="1"/>
        <v>116</v>
      </c>
    </row>
    <row r="23" spans="2:6" ht="15.75" thickBot="1" x14ac:dyDescent="0.3">
      <c r="B23" s="78" t="s">
        <v>398</v>
      </c>
      <c r="C23" s="79">
        <f>C13+C22</f>
        <v>157</v>
      </c>
      <c r="D23" s="79">
        <f>D13+D22</f>
        <v>173</v>
      </c>
      <c r="E23" s="79">
        <f>E13+E22</f>
        <v>8707</v>
      </c>
      <c r="F23" s="79">
        <f>F13+F22</f>
        <v>510</v>
      </c>
    </row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style="50" customWidth="1"/>
    <col min="3" max="5" width="10.5703125" style="50" customWidth="1"/>
    <col min="6" max="6" width="13.42578125" style="50" customWidth="1"/>
  </cols>
  <sheetData>
    <row r="1" spans="1:6" s="15" customFormat="1" x14ac:dyDescent="0.25">
      <c r="A1" s="50"/>
      <c r="B1" s="29"/>
      <c r="C1" s="227"/>
      <c r="D1" s="50"/>
      <c r="E1" s="50"/>
      <c r="F1" s="50"/>
    </row>
    <row r="2" spans="1:6" ht="15" customHeight="1" x14ac:dyDescent="0.25">
      <c r="A2" s="50"/>
      <c r="B2" s="817" t="s">
        <v>349</v>
      </c>
      <c r="C2" s="867"/>
      <c r="D2" s="65"/>
      <c r="E2" s="324"/>
      <c r="F2" s="423" t="s">
        <v>399</v>
      </c>
    </row>
    <row r="3" spans="1:6" ht="15" customHeight="1" x14ac:dyDescent="0.25">
      <c r="A3" s="50"/>
      <c r="B3" s="340" t="s">
        <v>12</v>
      </c>
      <c r="C3" s="424" t="s">
        <v>529</v>
      </c>
      <c r="D3" s="425" t="s">
        <v>530</v>
      </c>
      <c r="E3" s="425" t="s">
        <v>531</v>
      </c>
      <c r="F3" s="384" t="s">
        <v>11</v>
      </c>
    </row>
    <row r="4" spans="1:6" ht="14.1" customHeight="1" x14ac:dyDescent="0.25">
      <c r="A4" s="50"/>
      <c r="B4" s="426" t="s">
        <v>106</v>
      </c>
      <c r="C4" s="427">
        <f>'Tab 27'!B5</f>
        <v>5333.1419999999998</v>
      </c>
      <c r="D4" s="428">
        <f>'Tab 27'!C5</f>
        <v>5267.1559999999999</v>
      </c>
      <c r="E4" s="428">
        <f>'Tab 27'!D5</f>
        <v>5348.3850000000002</v>
      </c>
      <c r="F4" s="429">
        <f>IF(D4&gt;0,E4*100/D4,"-")</f>
        <v>101.54217949876556</v>
      </c>
    </row>
    <row r="5" spans="1:6" ht="14.1" customHeight="1" x14ac:dyDescent="0.25">
      <c r="A5" s="50"/>
      <c r="B5" s="417" t="s">
        <v>107</v>
      </c>
      <c r="C5" s="290">
        <v>976.42200000000003</v>
      </c>
      <c r="D5" s="418">
        <v>1018.213</v>
      </c>
      <c r="E5" s="418">
        <v>1006.4160000000001</v>
      </c>
      <c r="F5" s="271">
        <f t="shared" ref="F5:F13" si="0">IF(D5&gt;0,E5*100/D5,"-")</f>
        <v>98.841401553506003</v>
      </c>
    </row>
    <row r="6" spans="1:6" ht="14.1" customHeight="1" x14ac:dyDescent="0.25">
      <c r="A6" s="50"/>
      <c r="B6" s="417" t="s">
        <v>108</v>
      </c>
      <c r="C6" s="290">
        <f>C5-ROUND(0.12*C$4,0)</f>
        <v>336.42200000000003</v>
      </c>
      <c r="D6" s="418">
        <f>D5-ROUND(0.12*D$4,0)</f>
        <v>386.21299999999997</v>
      </c>
      <c r="E6" s="418">
        <f>E5-ROUND(0.12*E$4,0)</f>
        <v>364.41600000000005</v>
      </c>
      <c r="F6" s="271">
        <f t="shared" si="0"/>
        <v>94.35622312040249</v>
      </c>
    </row>
    <row r="7" spans="1:6" ht="14.1" customHeight="1" x14ac:dyDescent="0.25">
      <c r="A7" s="50"/>
      <c r="B7" s="430" t="s">
        <v>113</v>
      </c>
      <c r="C7" s="431">
        <f>IF(C$4&lt;&gt;0,ROUND(C5/C$4,4),0)</f>
        <v>0.18310000000000001</v>
      </c>
      <c r="D7" s="432">
        <f>IF(D$4&lt;&gt;0,ROUND(D5/D$4,4),0)</f>
        <v>0.1933</v>
      </c>
      <c r="E7" s="432">
        <f>IF(E$4&lt;&gt;0,ROUND(E5/E$4,4),0)</f>
        <v>0.18820000000000001</v>
      </c>
      <c r="F7" s="433">
        <f t="shared" si="0"/>
        <v>97.361614071391614</v>
      </c>
    </row>
    <row r="8" spans="1:6" ht="14.1" customHeight="1" x14ac:dyDescent="0.25">
      <c r="A8" s="50"/>
      <c r="B8" s="417" t="s">
        <v>109</v>
      </c>
      <c r="C8" s="290">
        <v>899.63699999999994</v>
      </c>
      <c r="D8" s="418">
        <v>922.92600000000004</v>
      </c>
      <c r="E8" s="418">
        <v>924.63099999999997</v>
      </c>
      <c r="F8" s="271">
        <f t="shared" si="0"/>
        <v>100.18473853808429</v>
      </c>
    </row>
    <row r="9" spans="1:6" ht="14.1" customHeight="1" x14ac:dyDescent="0.25">
      <c r="A9" s="50"/>
      <c r="B9" s="417" t="s">
        <v>110</v>
      </c>
      <c r="C9" s="290">
        <f>C8-ROUND(0.09*C$4,0)</f>
        <v>419.63699999999994</v>
      </c>
      <c r="D9" s="418">
        <f>D8-ROUND(0.09*D$4,0)</f>
        <v>448.92600000000004</v>
      </c>
      <c r="E9" s="418">
        <f>E8-ROUND(0.09*E$4,0)</f>
        <v>443.63099999999997</v>
      </c>
      <c r="F9" s="271">
        <f t="shared" si="0"/>
        <v>98.820518303684779</v>
      </c>
    </row>
    <row r="10" spans="1:6" ht="14.1" customHeight="1" x14ac:dyDescent="0.25">
      <c r="A10" s="50"/>
      <c r="B10" s="430" t="s">
        <v>114</v>
      </c>
      <c r="C10" s="431">
        <f>IF(C$4&lt;&gt;0,ROUND(C8/C$4,4),0)</f>
        <v>0.16869999999999999</v>
      </c>
      <c r="D10" s="432">
        <f>IF(D$4&lt;&gt;0,ROUND(D8/D$4,4),0)</f>
        <v>0.17519999999999999</v>
      </c>
      <c r="E10" s="432">
        <f>IF(E$4&lt;&gt;0,ROUND(E8/E$4,4),0)</f>
        <v>0.1729</v>
      </c>
      <c r="F10" s="433">
        <f t="shared" si="0"/>
        <v>98.68721461187215</v>
      </c>
    </row>
    <row r="11" spans="1:6" ht="14.1" customHeight="1" x14ac:dyDescent="0.25">
      <c r="A11" s="50"/>
      <c r="B11" s="417" t="s">
        <v>111</v>
      </c>
      <c r="C11" s="290">
        <v>898.09100000000001</v>
      </c>
      <c r="D11" s="418">
        <v>916.92600000000004</v>
      </c>
      <c r="E11" s="418">
        <v>918.63099999999997</v>
      </c>
      <c r="F11" s="271">
        <f t="shared" si="0"/>
        <v>100.18594739379185</v>
      </c>
    </row>
    <row r="12" spans="1:6" ht="14.1" customHeight="1" x14ac:dyDescent="0.25">
      <c r="A12" s="50"/>
      <c r="B12" s="417" t="s">
        <v>112</v>
      </c>
      <c r="C12" s="290">
        <f>C11-ROUND(0.0675*C$4,0)</f>
        <v>538.09100000000001</v>
      </c>
      <c r="D12" s="418">
        <f>D11-ROUND(0.0675*D$4,0)</f>
        <v>560.92600000000004</v>
      </c>
      <c r="E12" s="418">
        <f>E11-ROUND(0.0675*E$4,0)</f>
        <v>557.63099999999997</v>
      </c>
      <c r="F12" s="271">
        <f t="shared" si="0"/>
        <v>99.412578486288737</v>
      </c>
    </row>
    <row r="13" spans="1:6" ht="14.1" customHeight="1" thickBot="1" x14ac:dyDescent="0.3">
      <c r="A13" s="50"/>
      <c r="B13" s="434" t="s">
        <v>115</v>
      </c>
      <c r="C13" s="435">
        <f>IF(C$4&lt;&gt;0,ROUND(C11/C$4,4),0)</f>
        <v>0.16839999999999999</v>
      </c>
      <c r="D13" s="436">
        <f>IF(D$4&lt;&gt;0,ROUND(D11/D$4,4),0)</f>
        <v>0.1741</v>
      </c>
      <c r="E13" s="436">
        <f>IF(E$4&lt;&gt;0,ROUND(E11/E$4,4),0)</f>
        <v>0.17180000000000001</v>
      </c>
      <c r="F13" s="437">
        <f t="shared" si="0"/>
        <v>98.678920160827104</v>
      </c>
    </row>
    <row r="14" spans="1:6" x14ac:dyDescent="0.25">
      <c r="A14" s="50"/>
    </row>
    <row r="15" spans="1:6" s="15" customFormat="1" x14ac:dyDescent="0.25">
      <c r="B15" s="50"/>
      <c r="C15" s="50"/>
      <c r="D15" s="50"/>
      <c r="E15" s="50"/>
      <c r="F15" s="50"/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3" sqref="A3:D3"/>
    </sheetView>
  </sheetViews>
  <sheetFormatPr defaultRowHeight="15" x14ac:dyDescent="0.25"/>
  <cols>
    <col min="1" max="1" width="45.5703125" style="50" customWidth="1"/>
    <col min="2" max="4" width="9.5703125" style="50" customWidth="1"/>
    <col min="5" max="5" width="14" style="50" customWidth="1"/>
  </cols>
  <sheetData>
    <row r="1" spans="1:5" s="50" customFormat="1" hidden="1" x14ac:dyDescent="0.25"/>
    <row r="2" spans="1:5" s="15" customFormat="1" x14ac:dyDescent="0.25">
      <c r="A2" s="50"/>
      <c r="B2" s="50"/>
      <c r="C2" s="50"/>
      <c r="D2" s="50"/>
      <c r="E2" s="50"/>
    </row>
    <row r="3" spans="1:5" x14ac:dyDescent="0.25">
      <c r="A3" s="817" t="s">
        <v>350</v>
      </c>
      <c r="B3" s="867"/>
      <c r="C3" s="867"/>
      <c r="D3" s="867"/>
      <c r="E3" s="423" t="s">
        <v>399</v>
      </c>
    </row>
    <row r="4" spans="1:5" x14ac:dyDescent="0.25">
      <c r="A4" s="109" t="s">
        <v>12</v>
      </c>
      <c r="B4" s="334" t="s">
        <v>529</v>
      </c>
      <c r="C4" s="335" t="s">
        <v>530</v>
      </c>
      <c r="D4" s="335" t="s">
        <v>531</v>
      </c>
      <c r="E4" s="384" t="s">
        <v>11</v>
      </c>
    </row>
    <row r="5" spans="1:5" ht="14.1" customHeight="1" x14ac:dyDescent="0.25">
      <c r="A5" s="85" t="s">
        <v>117</v>
      </c>
      <c r="B5" s="167">
        <f>SUM(B6:B9)</f>
        <v>361.36899999999997</v>
      </c>
      <c r="C5" s="190">
        <f t="shared" ref="C5:D5" si="0">SUM(C6:C9)</f>
        <v>403.464</v>
      </c>
      <c r="D5" s="190">
        <f t="shared" si="0"/>
        <v>397.31400000000002</v>
      </c>
      <c r="E5" s="72">
        <f>IF(C5&lt;&gt;0,D5/C5*100,"-")</f>
        <v>98.475700434239485</v>
      </c>
    </row>
    <row r="6" spans="1:5" ht="14.1" customHeight="1" x14ac:dyDescent="0.25">
      <c r="A6" s="383" t="s">
        <v>118</v>
      </c>
      <c r="B6" s="177">
        <v>10.212999999999999</v>
      </c>
      <c r="C6" s="117">
        <v>10.962</v>
      </c>
      <c r="D6" s="117">
        <v>9.5980000000000008</v>
      </c>
      <c r="E6" s="72">
        <f>IF(C6&lt;&gt;0,D6/C6*100,"-")</f>
        <v>87.557015143222046</v>
      </c>
    </row>
    <row r="7" spans="1:5" ht="14.1" customHeight="1" x14ac:dyDescent="0.25">
      <c r="A7" s="383" t="s">
        <v>120</v>
      </c>
      <c r="B7" s="177">
        <v>119.253</v>
      </c>
      <c r="C7" s="117">
        <v>112.628</v>
      </c>
      <c r="D7" s="117">
        <v>110.90300000000001</v>
      </c>
      <c r="E7" s="72">
        <f t="shared" ref="E7:E13" si="1">IF(C7&lt;&gt;0,D7/C7*100,"-")</f>
        <v>98.468409276556457</v>
      </c>
    </row>
    <row r="8" spans="1:5" ht="14.1" customHeight="1" x14ac:dyDescent="0.25">
      <c r="A8" s="383" t="s">
        <v>121</v>
      </c>
      <c r="B8" s="177">
        <v>227.27500000000001</v>
      </c>
      <c r="C8" s="117">
        <v>275.04399999999998</v>
      </c>
      <c r="D8" s="117">
        <v>272.37400000000002</v>
      </c>
      <c r="E8" s="72">
        <f t="shared" si="1"/>
        <v>99.029246229694166</v>
      </c>
    </row>
    <row r="9" spans="1:5" ht="14.1" customHeight="1" x14ac:dyDescent="0.25">
      <c r="A9" s="383" t="s">
        <v>122</v>
      </c>
      <c r="B9" s="177">
        <v>4.6280000000000001</v>
      </c>
      <c r="C9" s="117">
        <v>4.83</v>
      </c>
      <c r="D9" s="117">
        <v>4.4390000000000001</v>
      </c>
      <c r="E9" s="72">
        <f t="shared" si="1"/>
        <v>91.904761904761898</v>
      </c>
    </row>
    <row r="10" spans="1:5" ht="14.1" customHeight="1" x14ac:dyDescent="0.25">
      <c r="A10" s="383" t="s">
        <v>119</v>
      </c>
      <c r="B10" s="167">
        <v>8297.9069999999992</v>
      </c>
      <c r="C10" s="190">
        <v>8508.5720000000001</v>
      </c>
      <c r="D10" s="190">
        <v>8618.0030000000006</v>
      </c>
      <c r="E10" s="72">
        <f t="shared" si="1"/>
        <v>101.28612650865504</v>
      </c>
    </row>
    <row r="11" spans="1:5" ht="14.1" customHeight="1" x14ac:dyDescent="0.25">
      <c r="A11" s="383" t="s">
        <v>123</v>
      </c>
      <c r="B11" s="177">
        <v>-27.553000000000001</v>
      </c>
      <c r="C11" s="117">
        <v>-32.305999999999997</v>
      </c>
      <c r="D11" s="117">
        <v>-30.954999999999998</v>
      </c>
      <c r="E11" s="72">
        <f t="shared" si="1"/>
        <v>95.818114282176694</v>
      </c>
    </row>
    <row r="12" spans="1:5" ht="14.1" customHeight="1" x14ac:dyDescent="0.25">
      <c r="A12" s="383" t="s">
        <v>124</v>
      </c>
      <c r="B12" s="167">
        <v>8631.723</v>
      </c>
      <c r="C12" s="190">
        <v>8879.73</v>
      </c>
      <c r="D12" s="190">
        <v>8984.3629999999994</v>
      </c>
      <c r="E12" s="169">
        <f t="shared" si="1"/>
        <v>101.1783353773144</v>
      </c>
    </row>
    <row r="13" spans="1:5" ht="14.1" customHeight="1" x14ac:dyDescent="0.25">
      <c r="A13" s="383" t="s">
        <v>125</v>
      </c>
      <c r="B13" s="177">
        <v>899.63699999999994</v>
      </c>
      <c r="C13" s="117">
        <v>922.92600000000004</v>
      </c>
      <c r="D13" s="117">
        <v>924.63099999999997</v>
      </c>
      <c r="E13" s="72">
        <f t="shared" si="1"/>
        <v>100.18473853808429</v>
      </c>
    </row>
    <row r="14" spans="1:5" ht="14.1" customHeight="1" thickBot="1" x14ac:dyDescent="0.3">
      <c r="A14" s="145" t="s">
        <v>126</v>
      </c>
      <c r="B14" s="438">
        <f>IF(B12&lt;&gt;0,B13/B12,0)</f>
        <v>0.10422449839968219</v>
      </c>
      <c r="C14" s="439">
        <f t="shared" ref="C14:D14" si="2">IF(C12&lt;&gt;0,C13/C12,0)</f>
        <v>0.10393626833248309</v>
      </c>
      <c r="D14" s="439">
        <f t="shared" si="2"/>
        <v>0.10291558789421132</v>
      </c>
      <c r="E14" s="148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G6"/>
  <sheetViews>
    <sheetView zoomScaleNormal="100" workbookViewId="0">
      <selection activeCell="A2" sqref="A2"/>
    </sheetView>
  </sheetViews>
  <sheetFormatPr defaultRowHeight="15" x14ac:dyDescent="0.25"/>
  <cols>
    <col min="1" max="1" width="39.42578125" style="50" customWidth="1"/>
    <col min="2" max="5" width="9.140625" style="50" customWidth="1"/>
  </cols>
  <sheetData>
    <row r="1" spans="1:7" s="15" customFormat="1" x14ac:dyDescent="0.25">
      <c r="A1" s="156"/>
      <c r="B1" s="50"/>
      <c r="C1" s="50"/>
      <c r="D1" s="50"/>
      <c r="E1" s="50"/>
    </row>
    <row r="2" spans="1:7" x14ac:dyDescent="0.25">
      <c r="A2" s="222" t="s">
        <v>497</v>
      </c>
      <c r="B2" s="222"/>
      <c r="C2" s="222"/>
      <c r="D2" s="222"/>
      <c r="E2" s="80"/>
      <c r="F2" s="80"/>
      <c r="G2" s="80" t="s">
        <v>399</v>
      </c>
    </row>
    <row r="3" spans="1:7" x14ac:dyDescent="0.25">
      <c r="A3" s="108" t="s">
        <v>12</v>
      </c>
      <c r="B3" s="678" t="s">
        <v>529</v>
      </c>
      <c r="C3" s="678" t="s">
        <v>547</v>
      </c>
      <c r="D3" s="678" t="s">
        <v>551</v>
      </c>
      <c r="E3" s="678" t="s">
        <v>436</v>
      </c>
      <c r="F3" s="678" t="s">
        <v>530</v>
      </c>
      <c r="G3" s="678" t="s">
        <v>531</v>
      </c>
    </row>
    <row r="4" spans="1:7" x14ac:dyDescent="0.25">
      <c r="A4" s="203" t="s">
        <v>127</v>
      </c>
      <c r="B4" s="463">
        <v>1782.011</v>
      </c>
      <c r="C4" s="463">
        <v>1557.2650000000001</v>
      </c>
      <c r="D4" s="463">
        <v>1705.1980000000001</v>
      </c>
      <c r="E4" s="463">
        <v>1700.481</v>
      </c>
      <c r="F4" s="463">
        <v>1904.528</v>
      </c>
      <c r="G4" s="463">
        <v>1775.4739999999999</v>
      </c>
    </row>
    <row r="5" spans="1:7" x14ac:dyDescent="0.25">
      <c r="A5" s="383" t="s">
        <v>161</v>
      </c>
      <c r="B5" s="449">
        <v>1024.682</v>
      </c>
      <c r="C5" s="449">
        <v>871.82600000000002</v>
      </c>
      <c r="D5" s="449">
        <v>905.96100000000001</v>
      </c>
      <c r="E5" s="449">
        <v>829.21500000000003</v>
      </c>
      <c r="F5" s="449">
        <v>951.00699999999995</v>
      </c>
      <c r="G5" s="449">
        <v>797.07</v>
      </c>
    </row>
    <row r="6" spans="1:7" ht="15.75" thickBot="1" x14ac:dyDescent="0.3">
      <c r="A6" s="479" t="s">
        <v>128</v>
      </c>
      <c r="B6" s="480">
        <f>IF(B5&lt;&gt;0,B4*100/B5,"-")</f>
        <v>173.90868581667289</v>
      </c>
      <c r="C6" s="480">
        <f>IF(C5&lt;&gt;0,C4*100/C5,"-")</f>
        <v>178.621078059154</v>
      </c>
      <c r="D6" s="480">
        <f t="shared" ref="D6:E6" si="0">IF(D5&lt;&gt;0,D4*100/D5,"-")</f>
        <v>188.21980195615487</v>
      </c>
      <c r="E6" s="480">
        <f t="shared" si="0"/>
        <v>205.07118178035853</v>
      </c>
      <c r="F6" s="480">
        <f t="shared" ref="F6:G6" si="1">IF(F5&lt;&gt;0,F4*100/F5,"-")</f>
        <v>200.26435136649889</v>
      </c>
      <c r="G6" s="480">
        <f t="shared" si="1"/>
        <v>222.75007213920983</v>
      </c>
    </row>
  </sheetData>
  <pageMargins left="0.7" right="0.7" top="0.75" bottom="0.75" header="0.3" footer="0.3"/>
  <pageSetup paperSize="9" scale="89" orientation="portrait" verticalDpi="0" r:id="rId1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44" customWidth="1"/>
    <col min="2" max="2" width="8.5703125" style="44" customWidth="1"/>
    <col min="3" max="3" width="8" style="44" bestFit="1" customWidth="1"/>
    <col min="4" max="4" width="8.5703125" style="44" bestFit="1" customWidth="1"/>
    <col min="5" max="5" width="8" style="44" bestFit="1" customWidth="1"/>
    <col min="6" max="6" width="8.5703125" style="44" bestFit="1" customWidth="1"/>
    <col min="7" max="7" width="8" style="44" bestFit="1" customWidth="1"/>
    <col min="8" max="8" width="9.42578125" style="44" customWidth="1"/>
    <col min="9" max="9" width="9.140625" style="44" customWidth="1"/>
    <col min="10" max="10" width="10.5703125" style="44" customWidth="1"/>
    <col min="11" max="11" width="8.5703125" style="44" customWidth="1"/>
    <col min="12" max="12" width="14.140625" style="44" customWidth="1"/>
    <col min="13" max="13" width="8.5703125" style="44"/>
    <col min="14" max="14" width="9.85546875" style="44" bestFit="1" customWidth="1"/>
    <col min="15" max="17" width="8.85546875" style="44" bestFit="1" customWidth="1"/>
    <col min="18" max="16384" width="8.5703125" style="44"/>
  </cols>
  <sheetData>
    <row r="1" spans="1:23" hidden="1" x14ac:dyDescent="0.25"/>
    <row r="3" spans="1:23" ht="15" customHeight="1" x14ac:dyDescent="0.25">
      <c r="A3" s="440" t="s">
        <v>445</v>
      </c>
      <c r="B3" s="440"/>
      <c r="C3" s="440"/>
      <c r="D3" s="440"/>
      <c r="E3" s="440"/>
      <c r="F3" s="440"/>
      <c r="G3" s="440"/>
      <c r="H3" s="440"/>
      <c r="I3" s="423" t="s">
        <v>399</v>
      </c>
    </row>
    <row r="4" spans="1:23" ht="15.95" customHeight="1" x14ac:dyDescent="0.25">
      <c r="A4" s="870" t="s">
        <v>293</v>
      </c>
      <c r="B4" s="872" t="s">
        <v>529</v>
      </c>
      <c r="C4" s="873"/>
      <c r="D4" s="874" t="s">
        <v>530</v>
      </c>
      <c r="E4" s="873"/>
      <c r="F4" s="874" t="s">
        <v>531</v>
      </c>
      <c r="G4" s="873"/>
      <c r="H4" s="868" t="s">
        <v>498</v>
      </c>
      <c r="I4" s="868" t="s">
        <v>499</v>
      </c>
    </row>
    <row r="5" spans="1:23" s="355" customFormat="1" ht="14.1" customHeight="1" x14ac:dyDescent="0.25">
      <c r="A5" s="871"/>
      <c r="B5" s="352" t="s">
        <v>2</v>
      </c>
      <c r="C5" s="353" t="s">
        <v>446</v>
      </c>
      <c r="D5" s="354" t="s">
        <v>2</v>
      </c>
      <c r="E5" s="353" t="s">
        <v>3</v>
      </c>
      <c r="F5" s="354" t="s">
        <v>2</v>
      </c>
      <c r="G5" s="353" t="s">
        <v>3</v>
      </c>
      <c r="H5" s="869"/>
      <c r="I5" s="869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355" customFormat="1" ht="14.1" customHeight="1" x14ac:dyDescent="0.25">
      <c r="A6" s="356" t="s">
        <v>447</v>
      </c>
      <c r="B6" s="357">
        <v>2590.808</v>
      </c>
      <c r="C6" s="358">
        <f t="shared" ref="C6:C15" si="0">IFERROR(B6/B$16*100,0)</f>
        <v>40.444519931212682</v>
      </c>
      <c r="D6" s="359">
        <v>3654.55</v>
      </c>
      <c r="E6" s="358">
        <f t="shared" ref="E6:E15" si="1">IFERROR(D6/D$16*100,0)</f>
        <v>56.092546447047411</v>
      </c>
      <c r="F6" s="359">
        <v>3819.3159999999998</v>
      </c>
      <c r="G6" s="358">
        <f t="shared" ref="G6:G15" si="2">IFERROR(F6/F$16*100,0)</f>
        <v>57.921641944962765</v>
      </c>
      <c r="H6" s="360">
        <f>IFERROR(D6/B6*100,0)</f>
        <v>141.05831076637097</v>
      </c>
      <c r="I6" s="360">
        <f>IFERROR(F6/D6*100,0)</f>
        <v>104.50851678045177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s="355" customFormat="1" ht="14.1" customHeight="1" x14ac:dyDescent="0.25">
      <c r="A7" s="356" t="s">
        <v>448</v>
      </c>
      <c r="B7" s="357">
        <v>84.635000000000005</v>
      </c>
      <c r="C7" s="358">
        <f t="shared" si="0"/>
        <v>1.3212179151747969</v>
      </c>
      <c r="D7" s="359">
        <v>18.952999999999999</v>
      </c>
      <c r="E7" s="358">
        <f t="shared" si="1"/>
        <v>0.29090367700835656</v>
      </c>
      <c r="F7" s="359">
        <v>60.235999999999997</v>
      </c>
      <c r="G7" s="358">
        <f t="shared" si="2"/>
        <v>0.91350598489278634</v>
      </c>
      <c r="H7" s="360">
        <f t="shared" ref="H7:H16" si="3">IFERROR(D7/B7*100,0)</f>
        <v>22.393808707981329</v>
      </c>
      <c r="I7" s="360">
        <f>IFERROR(F7/D7*100,0)</f>
        <v>317.81775972141617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4.1" customHeight="1" x14ac:dyDescent="0.25">
      <c r="A8" s="356" t="s">
        <v>449</v>
      </c>
      <c r="B8" s="357">
        <v>204.065</v>
      </c>
      <c r="C8" s="358">
        <f t="shared" si="0"/>
        <v>3.1856127353948716</v>
      </c>
      <c r="D8" s="359">
        <v>80.135000000000005</v>
      </c>
      <c r="E8" s="358">
        <f t="shared" si="1"/>
        <v>1.2299670847393371</v>
      </c>
      <c r="F8" s="359">
        <v>54.241999999999997</v>
      </c>
      <c r="G8" s="358">
        <f t="shared" si="2"/>
        <v>0.82260428369338134</v>
      </c>
      <c r="H8" s="360">
        <f t="shared" si="3"/>
        <v>39.269350452061843</v>
      </c>
      <c r="I8" s="360">
        <f>IFERROR(F8/D8*100,0)</f>
        <v>67.688276034192299</v>
      </c>
    </row>
    <row r="9" spans="1:23" ht="14.1" customHeight="1" x14ac:dyDescent="0.25">
      <c r="A9" s="356" t="s">
        <v>450</v>
      </c>
      <c r="B9" s="357">
        <v>408.03300000000002</v>
      </c>
      <c r="C9" s="358">
        <f t="shared" si="0"/>
        <v>6.3697112256456299</v>
      </c>
      <c r="D9" s="359">
        <v>455.22199999999998</v>
      </c>
      <c r="E9" s="358">
        <f t="shared" si="1"/>
        <v>6.9870602888776503</v>
      </c>
      <c r="F9" s="359">
        <v>315.36200000000002</v>
      </c>
      <c r="G9" s="358">
        <f t="shared" si="2"/>
        <v>4.782606321929725</v>
      </c>
      <c r="H9" s="360">
        <f t="shared" si="3"/>
        <v>111.56499596846332</v>
      </c>
      <c r="I9" s="360">
        <f t="shared" ref="I9:I16" si="4">IFERROR(F9/D9*100,0)</f>
        <v>69.276528814512488</v>
      </c>
    </row>
    <row r="10" spans="1:23" ht="14.1" customHeight="1" x14ac:dyDescent="0.25">
      <c r="A10" s="356" t="s">
        <v>451</v>
      </c>
      <c r="B10" s="357">
        <v>559.93299999999999</v>
      </c>
      <c r="C10" s="358">
        <f t="shared" si="0"/>
        <v>8.7409878997763286</v>
      </c>
      <c r="D10" s="359">
        <v>381.11900000000003</v>
      </c>
      <c r="E10" s="358">
        <f t="shared" si="1"/>
        <v>5.8496764880360814</v>
      </c>
      <c r="F10" s="359">
        <v>372.68099999999998</v>
      </c>
      <c r="G10" s="358">
        <f t="shared" si="2"/>
        <v>5.6518746921413854</v>
      </c>
      <c r="H10" s="360">
        <f t="shared" si="3"/>
        <v>68.065107789681988</v>
      </c>
      <c r="I10" s="360">
        <f t="shared" si="4"/>
        <v>97.785993351158027</v>
      </c>
    </row>
    <row r="11" spans="1:23" ht="14.1" customHeight="1" x14ac:dyDescent="0.25">
      <c r="A11" s="356" t="s">
        <v>452</v>
      </c>
      <c r="B11" s="357">
        <v>1362.672</v>
      </c>
      <c r="C11" s="358">
        <f t="shared" si="0"/>
        <v>21.272365556886285</v>
      </c>
      <c r="D11" s="359">
        <v>928.86199999999997</v>
      </c>
      <c r="E11" s="358">
        <f t="shared" si="1"/>
        <v>14.25681270687153</v>
      </c>
      <c r="F11" s="359">
        <v>1010.595</v>
      </c>
      <c r="G11" s="358">
        <f t="shared" si="2"/>
        <v>15.326126914182971</v>
      </c>
      <c r="H11" s="360">
        <f t="shared" si="3"/>
        <v>68.164752779832554</v>
      </c>
      <c r="I11" s="360">
        <f t="shared" si="4"/>
        <v>108.79926189250932</v>
      </c>
    </row>
    <row r="12" spans="1:23" ht="14.1" customHeight="1" x14ac:dyDescent="0.25">
      <c r="A12" s="361" t="s">
        <v>453</v>
      </c>
      <c r="B12" s="362">
        <f>SUM(B6:B11)</f>
        <v>5210.1460000000006</v>
      </c>
      <c r="C12" s="363">
        <f t="shared" si="0"/>
        <v>81.334415264090595</v>
      </c>
      <c r="D12" s="364">
        <f>SUM(D6:D11)</f>
        <v>5518.8410000000003</v>
      </c>
      <c r="E12" s="363">
        <f t="shared" si="1"/>
        <v>84.70696669258038</v>
      </c>
      <c r="F12" s="364">
        <f>SUM(F6:F11)</f>
        <v>5632.4319999999998</v>
      </c>
      <c r="G12" s="363">
        <f t="shared" si="2"/>
        <v>85.418360141803021</v>
      </c>
      <c r="H12" s="365">
        <f t="shared" si="3"/>
        <v>105.92488195148466</v>
      </c>
      <c r="I12" s="365">
        <f t="shared" si="4"/>
        <v>102.05824012686722</v>
      </c>
    </row>
    <row r="13" spans="1:23" ht="14.1" customHeight="1" x14ac:dyDescent="0.25">
      <c r="A13" s="366" t="s">
        <v>454</v>
      </c>
      <c r="B13" s="357">
        <v>1185.414</v>
      </c>
      <c r="C13" s="358">
        <f t="shared" si="0"/>
        <v>18.505230858380301</v>
      </c>
      <c r="D13" s="359">
        <v>972.51199999999994</v>
      </c>
      <c r="E13" s="358">
        <f t="shared" si="1"/>
        <v>14.926782922743149</v>
      </c>
      <c r="F13" s="359">
        <v>937.17200000000003</v>
      </c>
      <c r="G13" s="358">
        <f t="shared" si="2"/>
        <v>14.212634153561698</v>
      </c>
      <c r="H13" s="360">
        <f t="shared" si="3"/>
        <v>82.03986117930107</v>
      </c>
      <c r="I13" s="360">
        <f t="shared" si="4"/>
        <v>96.366111677799353</v>
      </c>
    </row>
    <row r="14" spans="1:23" ht="14.1" customHeight="1" x14ac:dyDescent="0.25">
      <c r="A14" s="366" t="s">
        <v>455</v>
      </c>
      <c r="B14" s="357">
        <v>10.272</v>
      </c>
      <c r="C14" s="358">
        <f t="shared" si="0"/>
        <v>0.1603538775291016</v>
      </c>
      <c r="D14" s="359">
        <v>23.861999999999998</v>
      </c>
      <c r="E14" s="358">
        <f t="shared" si="1"/>
        <v>0.36625038467648413</v>
      </c>
      <c r="F14" s="359">
        <v>24.332000000000001</v>
      </c>
      <c r="G14" s="358">
        <f t="shared" si="2"/>
        <v>0.36900570463528914</v>
      </c>
      <c r="H14" s="360">
        <f t="shared" si="3"/>
        <v>232.30140186915884</v>
      </c>
      <c r="I14" s="360">
        <f t="shared" si="4"/>
        <v>101.96965887184646</v>
      </c>
    </row>
    <row r="15" spans="1:23" ht="14.1" customHeight="1" x14ac:dyDescent="0.25">
      <c r="A15" s="361" t="s">
        <v>456</v>
      </c>
      <c r="B15" s="362">
        <f>SUM(B13:B14)</f>
        <v>1195.6859999999999</v>
      </c>
      <c r="C15" s="363">
        <f t="shared" si="0"/>
        <v>18.665584735909398</v>
      </c>
      <c r="D15" s="364">
        <f>SUM(D13:D14)</f>
        <v>996.37399999999991</v>
      </c>
      <c r="E15" s="363">
        <f t="shared" si="1"/>
        <v>15.293033307419632</v>
      </c>
      <c r="F15" s="364">
        <f>SUM(F13:F14)</f>
        <v>961.50400000000002</v>
      </c>
      <c r="G15" s="363">
        <f t="shared" si="2"/>
        <v>14.581639858196988</v>
      </c>
      <c r="H15" s="365">
        <f t="shared" si="3"/>
        <v>83.330740679409146</v>
      </c>
      <c r="I15" s="365">
        <f t="shared" si="4"/>
        <v>96.500310124511486</v>
      </c>
    </row>
    <row r="16" spans="1:23" ht="14.1" customHeight="1" thickBot="1" x14ac:dyDescent="0.3">
      <c r="A16" s="367" t="s">
        <v>457</v>
      </c>
      <c r="B16" s="368">
        <f t="shared" ref="B16:F16" si="5">B12+B15</f>
        <v>6405.8320000000003</v>
      </c>
      <c r="C16" s="369">
        <f t="shared" si="5"/>
        <v>100</v>
      </c>
      <c r="D16" s="370">
        <f t="shared" si="5"/>
        <v>6515.2150000000001</v>
      </c>
      <c r="E16" s="369">
        <f t="shared" ref="E16:G16" si="6">E12+E15</f>
        <v>100.00000000000001</v>
      </c>
      <c r="F16" s="370">
        <f t="shared" si="5"/>
        <v>6593.9359999999997</v>
      </c>
      <c r="G16" s="369">
        <f t="shared" si="6"/>
        <v>100.00000000000001</v>
      </c>
      <c r="H16" s="371">
        <f t="shared" si="3"/>
        <v>101.70755336699433</v>
      </c>
      <c r="I16" s="371">
        <f t="shared" si="4"/>
        <v>101.20826404040389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44" customWidth="1"/>
    <col min="2" max="4" width="12.5703125" style="44" customWidth="1"/>
    <col min="5" max="5" width="10.42578125" style="44" customWidth="1"/>
    <col min="6" max="6" width="10.42578125" style="44" hidden="1" customWidth="1"/>
    <col min="7" max="7" width="19.140625" style="44" hidden="1" customWidth="1"/>
    <col min="8" max="8" width="35.140625" style="44" hidden="1" customWidth="1"/>
    <col min="9" max="9" width="8.5703125" style="44" hidden="1" customWidth="1"/>
    <col min="10" max="16384" width="8.5703125" style="44"/>
  </cols>
  <sheetData>
    <row r="2" spans="1:20" ht="15" customHeight="1" x14ac:dyDescent="0.25">
      <c r="A2" s="65" t="s">
        <v>458</v>
      </c>
      <c r="B2" s="65"/>
      <c r="C2" s="65"/>
      <c r="D2" s="80" t="s">
        <v>3</v>
      </c>
    </row>
    <row r="3" spans="1:20" x14ac:dyDescent="0.25">
      <c r="A3" s="109" t="s">
        <v>12</v>
      </c>
      <c r="B3" s="334" t="str">
        <f>B12</f>
        <v>2019.</v>
      </c>
      <c r="C3" s="335" t="str">
        <f t="shared" ref="C3:D3" si="0">C12</f>
        <v>2020.</v>
      </c>
      <c r="D3" s="335" t="str">
        <f t="shared" si="0"/>
        <v>03/2021.</v>
      </c>
    </row>
    <row r="4" spans="1:20" ht="14.1" customHeight="1" x14ac:dyDescent="0.25">
      <c r="A4" s="85" t="s">
        <v>460</v>
      </c>
      <c r="B4" s="336">
        <f>IF(B14&lt;&gt;0,B13*100/B14,0)</f>
        <v>22.969638917564971</v>
      </c>
      <c r="C4" s="337">
        <f>IF(C14&lt;&gt;0,C13*100/C14,0)</f>
        <v>22.866490068311101</v>
      </c>
      <c r="D4" s="337">
        <f>IF(D14&lt;&gt;0,D13*100/D14,0)</f>
        <v>22.75782452152778</v>
      </c>
    </row>
    <row r="5" spans="1:20" ht="14.1" customHeight="1" x14ac:dyDescent="0.25">
      <c r="A5" s="85" t="s">
        <v>461</v>
      </c>
      <c r="B5" s="336">
        <f>IF(B15&lt;&gt;0,B13*100/B15,0)</f>
        <v>35.032999278364805</v>
      </c>
      <c r="C5" s="337">
        <f>IF(C15&lt;&gt;0,C13*100/C15,0)</f>
        <v>33.754199948335021</v>
      </c>
      <c r="D5" s="337">
        <f>IF(D15&lt;&gt;0,D13*100/D15,0)</f>
        <v>33.403342960551228</v>
      </c>
    </row>
    <row r="6" spans="1:20" ht="14.1" customHeight="1" x14ac:dyDescent="0.25">
      <c r="A6" s="85" t="s">
        <v>462</v>
      </c>
      <c r="B6" s="336">
        <f>IF(B16&lt;&gt;0,B15*100/B16,0)</f>
        <v>75.083178532292919</v>
      </c>
      <c r="C6" s="337">
        <f>IF(C16&lt;&gt;0,C15*100/C16,0)</f>
        <v>77.442028906647707</v>
      </c>
      <c r="D6" s="337">
        <f>IF(D16&lt;&gt;0,D15*100/D16,0)</f>
        <v>78.079276445043135</v>
      </c>
    </row>
    <row r="7" spans="1:20" ht="14.1" customHeight="1" x14ac:dyDescent="0.25">
      <c r="A7" s="85" t="s">
        <v>463</v>
      </c>
      <c r="B7" s="336">
        <f>IF(B18+B19&lt;&gt;0,B17*100/(B18+B19),0)</f>
        <v>77.965813617326958</v>
      </c>
      <c r="C7" s="337">
        <f>IF(C18+C19&lt;&gt;0,C17*100/(C18+C19),0)</f>
        <v>76.371290948141038</v>
      </c>
      <c r="D7" s="337">
        <f>IF(D18+D19&lt;&gt;0,D17*100/(D18+D19),0)</f>
        <v>75.950091980959002</v>
      </c>
    </row>
    <row r="8" spans="1:20" ht="14.1" customHeight="1" thickBot="1" x14ac:dyDescent="0.3">
      <c r="A8" s="90" t="s">
        <v>464</v>
      </c>
      <c r="B8" s="338">
        <f>IF(B18+B19+B20&lt;&gt;0,B17*100/(B18+B19+B20),0)</f>
        <v>77.388565662935676</v>
      </c>
      <c r="C8" s="339">
        <f>IF(C18+C19+C20&lt;&gt;0,C17*100/(C18+C19+C20),0)</f>
        <v>75.820383564698972</v>
      </c>
      <c r="D8" s="339">
        <f>IF(D18+D19+D20&lt;&gt;0,D17*100/(D18+D19+D20),0)</f>
        <v>75.408424383123304</v>
      </c>
    </row>
    <row r="9" spans="1:20" ht="25.5" customHeight="1" x14ac:dyDescent="0.25">
      <c r="A9" s="875" t="s">
        <v>465</v>
      </c>
      <c r="B9" s="875"/>
      <c r="C9" s="875"/>
      <c r="D9" s="875"/>
    </row>
    <row r="10" spans="1:20" ht="15.75" x14ac:dyDescent="0.25">
      <c r="B10" s="373"/>
      <c r="C10" s="373"/>
      <c r="D10" s="373"/>
    </row>
    <row r="11" spans="1:20" ht="15.75" x14ac:dyDescent="0.25">
      <c r="A11" s="374"/>
      <c r="B11" s="490"/>
      <c r="C11" s="490"/>
      <c r="D11" s="490"/>
    </row>
    <row r="12" spans="1:20" hidden="1" x14ac:dyDescent="0.25">
      <c r="A12" s="614" t="s">
        <v>213</v>
      </c>
      <c r="B12" s="612" t="s">
        <v>529</v>
      </c>
      <c r="C12" s="612" t="s">
        <v>530</v>
      </c>
      <c r="D12" s="612" t="s">
        <v>531</v>
      </c>
      <c r="E12" s="159"/>
      <c r="F12" s="50"/>
    </row>
    <row r="13" spans="1:20" s="50" customFormat="1" ht="14.1" hidden="1" customHeight="1" x14ac:dyDescent="0.25">
      <c r="A13" s="613" t="s">
        <v>466</v>
      </c>
      <c r="B13" s="491">
        <v>1905.943</v>
      </c>
      <c r="C13" s="491">
        <v>1945.6120000000001</v>
      </c>
      <c r="D13" s="491">
        <v>1961.27</v>
      </c>
      <c r="E13" s="159"/>
      <c r="F13" s="50" t="s">
        <v>508</v>
      </c>
      <c r="G13" s="50" t="s">
        <v>501</v>
      </c>
      <c r="H13" s="159"/>
      <c r="I13" s="372" t="s">
        <v>459</v>
      </c>
    </row>
    <row r="14" spans="1:20" s="50" customFormat="1" ht="14.1" hidden="1" customHeight="1" x14ac:dyDescent="0.25">
      <c r="A14" s="613" t="s">
        <v>468</v>
      </c>
      <c r="B14" s="491">
        <v>8297.6620000000003</v>
      </c>
      <c r="C14" s="491">
        <v>8508.5730000000003</v>
      </c>
      <c r="D14" s="491">
        <v>8618.0030000000006</v>
      </c>
      <c r="E14" s="159"/>
      <c r="F14" s="50" t="s">
        <v>506</v>
      </c>
      <c r="G14" s="50" t="s">
        <v>500</v>
      </c>
      <c r="H14" s="159"/>
      <c r="I14" s="50" t="s">
        <v>467</v>
      </c>
      <c r="T14" s="28"/>
    </row>
    <row r="15" spans="1:20" s="50" customFormat="1" ht="14.1" hidden="1" customHeight="1" x14ac:dyDescent="0.25">
      <c r="A15" s="613" t="s">
        <v>470</v>
      </c>
      <c r="B15" s="491">
        <v>5440.4219999999996</v>
      </c>
      <c r="C15" s="491">
        <v>5764.0590000000002</v>
      </c>
      <c r="D15" s="491">
        <v>5871.4782000000005</v>
      </c>
      <c r="E15" s="159"/>
      <c r="F15" s="159" t="s">
        <v>508</v>
      </c>
      <c r="G15" s="159" t="s">
        <v>509</v>
      </c>
      <c r="H15" s="159"/>
      <c r="I15" s="50" t="s">
        <v>469</v>
      </c>
      <c r="T15" s="28"/>
    </row>
    <row r="16" spans="1:20" s="50" customFormat="1" ht="14.1" hidden="1" customHeight="1" x14ac:dyDescent="0.25">
      <c r="A16" s="613" t="s">
        <v>472</v>
      </c>
      <c r="B16" s="491">
        <v>7245.86</v>
      </c>
      <c r="C16" s="491">
        <v>7443.0630000000001</v>
      </c>
      <c r="D16" s="491">
        <v>7519.8932000000004</v>
      </c>
      <c r="E16" s="159"/>
      <c r="F16" s="159" t="s">
        <v>508</v>
      </c>
      <c r="G16" s="159" t="s">
        <v>507</v>
      </c>
      <c r="H16" s="159"/>
      <c r="I16" s="50" t="s">
        <v>471</v>
      </c>
      <c r="T16" s="28"/>
    </row>
    <row r="17" spans="1:20" s="50" customFormat="1" ht="14.1" hidden="1" customHeight="1" x14ac:dyDescent="0.25">
      <c r="A17" s="613" t="s">
        <v>473</v>
      </c>
      <c r="B17" s="491">
        <v>5463.2929999999997</v>
      </c>
      <c r="C17" s="491">
        <v>5493.8069999999998</v>
      </c>
      <c r="D17" s="491">
        <v>5526.5129999999999</v>
      </c>
      <c r="E17" s="159"/>
      <c r="F17" s="50" t="s">
        <v>506</v>
      </c>
      <c r="G17" s="50" t="s">
        <v>502</v>
      </c>
      <c r="H17" s="159"/>
      <c r="I17" s="50" t="s">
        <v>174</v>
      </c>
      <c r="T17" s="28"/>
    </row>
    <row r="18" spans="1:20" s="50" customFormat="1" ht="14.1" hidden="1" customHeight="1" x14ac:dyDescent="0.25">
      <c r="A18" s="613" t="s">
        <v>474</v>
      </c>
      <c r="B18" s="491">
        <v>6405.8320000000003</v>
      </c>
      <c r="C18" s="491">
        <v>6515.2150000000001</v>
      </c>
      <c r="D18" s="491">
        <v>6593.9359999999997</v>
      </c>
      <c r="E18" s="159"/>
      <c r="F18" s="50" t="s">
        <v>506</v>
      </c>
      <c r="G18" s="50" t="s">
        <v>503</v>
      </c>
      <c r="H18" s="159"/>
      <c r="T18" s="28"/>
    </row>
    <row r="19" spans="1:20" s="50" customFormat="1" ht="14.1" hidden="1" customHeight="1" x14ac:dyDescent="0.25">
      <c r="A19" s="613" t="s">
        <v>476</v>
      </c>
      <c r="B19" s="491">
        <v>601.46100000000001</v>
      </c>
      <c r="C19" s="491">
        <v>678.33500000000004</v>
      </c>
      <c r="D19" s="491">
        <v>682.57</v>
      </c>
      <c r="E19" s="159"/>
      <c r="F19" s="50" t="s">
        <v>506</v>
      </c>
      <c r="G19" s="50" t="s">
        <v>504</v>
      </c>
      <c r="H19" s="159"/>
      <c r="I19" s="50" t="s">
        <v>475</v>
      </c>
      <c r="T19" s="28"/>
    </row>
    <row r="20" spans="1:20" s="50" customFormat="1" ht="14.1" hidden="1" customHeight="1" x14ac:dyDescent="0.25">
      <c r="A20" s="613" t="s">
        <v>478</v>
      </c>
      <c r="B20" s="491">
        <v>52.268000000000001</v>
      </c>
      <c r="C20" s="491">
        <v>52.268000000000001</v>
      </c>
      <c r="D20" s="491">
        <v>52.268000000000001</v>
      </c>
      <c r="E20" s="159"/>
      <c r="F20" s="50" t="s">
        <v>506</v>
      </c>
      <c r="G20" s="50" t="s">
        <v>505</v>
      </c>
      <c r="H20" s="159"/>
      <c r="I20" s="50" t="s">
        <v>477</v>
      </c>
      <c r="T20" s="28"/>
    </row>
    <row r="21" spans="1:20" x14ac:dyDescent="0.25">
      <c r="E21" s="159"/>
      <c r="F21" s="50"/>
      <c r="I21" s="50" t="s">
        <v>471</v>
      </c>
    </row>
    <row r="22" spans="1:20" x14ac:dyDescent="0.25">
      <c r="I22" s="159" t="s">
        <v>174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9"/>
  <sheetViews>
    <sheetView zoomScaleNormal="100" workbookViewId="0">
      <selection activeCell="A9" sqref="A9:XFD17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99"/>
      <c r="C1" s="199"/>
      <c r="D1" s="199"/>
    </row>
    <row r="2" spans="1:9" ht="15" customHeight="1" x14ac:dyDescent="0.2">
      <c r="A2" s="81" t="s">
        <v>391</v>
      </c>
      <c r="B2" s="81"/>
      <c r="C2" s="81"/>
      <c r="D2" s="81"/>
      <c r="E2" s="81"/>
      <c r="F2" s="81"/>
      <c r="G2" s="81"/>
      <c r="H2" s="81"/>
      <c r="I2" s="423"/>
    </row>
    <row r="3" spans="1:9" x14ac:dyDescent="0.2">
      <c r="A3" s="768" t="s">
        <v>65</v>
      </c>
      <c r="B3" s="879" t="s">
        <v>227</v>
      </c>
      <c r="C3" s="880"/>
      <c r="D3" s="878" t="s">
        <v>228</v>
      </c>
      <c r="E3" s="876"/>
      <c r="F3" s="876"/>
      <c r="G3" s="877"/>
      <c r="H3" s="783" t="s">
        <v>41</v>
      </c>
      <c r="I3" s="783"/>
    </row>
    <row r="4" spans="1:9" ht="22.5" customHeight="1" x14ac:dyDescent="0.2">
      <c r="A4" s="768"/>
      <c r="B4" s="878"/>
      <c r="C4" s="877"/>
      <c r="D4" s="878" t="s">
        <v>188</v>
      </c>
      <c r="E4" s="876"/>
      <c r="F4" s="876" t="s">
        <v>189</v>
      </c>
      <c r="G4" s="877"/>
      <c r="H4" s="876"/>
      <c r="I4" s="876"/>
    </row>
    <row r="5" spans="1:9" ht="24" x14ac:dyDescent="0.2">
      <c r="A5" s="769"/>
      <c r="B5" s="489" t="s">
        <v>190</v>
      </c>
      <c r="C5" s="488" t="s">
        <v>484</v>
      </c>
      <c r="D5" s="489" t="s">
        <v>190</v>
      </c>
      <c r="E5" s="487" t="s">
        <v>484</v>
      </c>
      <c r="F5" s="487" t="s">
        <v>190</v>
      </c>
      <c r="G5" s="488" t="s">
        <v>484</v>
      </c>
      <c r="H5" s="487" t="s">
        <v>190</v>
      </c>
      <c r="I5" s="487" t="s">
        <v>484</v>
      </c>
    </row>
    <row r="6" spans="1:9" ht="14.1" customHeight="1" x14ac:dyDescent="0.2">
      <c r="A6" s="743" t="s">
        <v>552</v>
      </c>
      <c r="B6" s="744">
        <v>1577354</v>
      </c>
      <c r="C6" s="745">
        <v>872.16800000000001</v>
      </c>
      <c r="D6" s="744">
        <v>1764088</v>
      </c>
      <c r="E6" s="213">
        <v>1895.1479999999999</v>
      </c>
      <c r="F6" s="565">
        <v>1014146</v>
      </c>
      <c r="G6" s="745">
        <v>1672.713</v>
      </c>
      <c r="H6" s="565">
        <f t="shared" ref="H6:H8" si="0">B6+D6+F6</f>
        <v>4355588</v>
      </c>
      <c r="I6" s="213">
        <f t="shared" ref="I6:I8" si="1">C6+E6+G6</f>
        <v>4440.0289999999995</v>
      </c>
    </row>
    <row r="7" spans="1:9" ht="14.1" customHeight="1" x14ac:dyDescent="0.2">
      <c r="A7" s="743" t="s">
        <v>553</v>
      </c>
      <c r="B7" s="744">
        <v>1675196</v>
      </c>
      <c r="C7" s="745">
        <v>932.52</v>
      </c>
      <c r="D7" s="744">
        <v>1877249</v>
      </c>
      <c r="E7" s="213">
        <v>2177.6280000000002</v>
      </c>
      <c r="F7" s="565">
        <v>1135261</v>
      </c>
      <c r="G7" s="745">
        <v>1968.8040000000001</v>
      </c>
      <c r="H7" s="565">
        <f t="shared" si="0"/>
        <v>4687706</v>
      </c>
      <c r="I7" s="213">
        <f t="shared" si="1"/>
        <v>5078.9520000000002</v>
      </c>
    </row>
    <row r="8" spans="1:9" ht="14.1" customHeight="1" x14ac:dyDescent="0.2">
      <c r="A8" s="743" t="s">
        <v>531</v>
      </c>
      <c r="B8" s="744">
        <v>1835443</v>
      </c>
      <c r="C8" s="745">
        <v>1143.0889999999999</v>
      </c>
      <c r="D8" s="744">
        <v>2132219</v>
      </c>
      <c r="E8" s="213">
        <v>2611.5700000000002</v>
      </c>
      <c r="F8" s="565">
        <v>1321157</v>
      </c>
      <c r="G8" s="745">
        <v>2183.2669999999998</v>
      </c>
      <c r="H8" s="565">
        <f t="shared" si="0"/>
        <v>5288819</v>
      </c>
      <c r="I8" s="213">
        <f t="shared" si="1"/>
        <v>5937.9259999999995</v>
      </c>
    </row>
    <row r="9" spans="1:9" ht="14.1" customHeight="1" thickBot="1" x14ac:dyDescent="0.25">
      <c r="A9" s="746" t="s">
        <v>64</v>
      </c>
      <c r="B9" s="747">
        <f t="shared" ref="B9:I9" si="2">SUM(B6:B8)</f>
        <v>5087993</v>
      </c>
      <c r="C9" s="748">
        <f t="shared" si="2"/>
        <v>2947.777</v>
      </c>
      <c r="D9" s="747">
        <f t="shared" si="2"/>
        <v>5773556</v>
      </c>
      <c r="E9" s="216">
        <f t="shared" si="2"/>
        <v>6684.3459999999995</v>
      </c>
      <c r="F9" s="742">
        <f t="shared" si="2"/>
        <v>3470564</v>
      </c>
      <c r="G9" s="748">
        <f t="shared" si="2"/>
        <v>5824.7839999999997</v>
      </c>
      <c r="H9" s="742">
        <f t="shared" si="2"/>
        <v>14332113</v>
      </c>
      <c r="I9" s="216">
        <f t="shared" si="2"/>
        <v>15456.906999999999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99"/>
      <c r="C1" s="199"/>
    </row>
    <row r="2" spans="2:10" x14ac:dyDescent="0.2">
      <c r="B2" s="81" t="s">
        <v>351</v>
      </c>
      <c r="C2" s="81"/>
      <c r="D2" s="81"/>
      <c r="E2" s="81"/>
      <c r="F2" s="81"/>
      <c r="G2" s="81"/>
      <c r="H2" s="81"/>
      <c r="I2" s="81"/>
      <c r="J2" s="483" t="s">
        <v>488</v>
      </c>
    </row>
    <row r="3" spans="2:10" x14ac:dyDescent="0.2">
      <c r="B3" s="885" t="s">
        <v>193</v>
      </c>
      <c r="C3" s="881" t="s">
        <v>194</v>
      </c>
      <c r="D3" s="881" t="s">
        <v>195</v>
      </c>
      <c r="E3" s="881" t="s">
        <v>196</v>
      </c>
      <c r="F3" s="882" t="s">
        <v>531</v>
      </c>
      <c r="G3" s="883"/>
      <c r="H3" s="883"/>
      <c r="I3" s="883"/>
      <c r="J3" s="884"/>
    </row>
    <row r="4" spans="2:10" ht="24" customHeight="1" x14ac:dyDescent="0.2">
      <c r="B4" s="885"/>
      <c r="C4" s="881"/>
      <c r="D4" s="881"/>
      <c r="E4" s="881"/>
      <c r="F4" s="515" t="s">
        <v>494</v>
      </c>
      <c r="G4" s="515" t="s">
        <v>221</v>
      </c>
      <c r="H4" s="515" t="s">
        <v>212</v>
      </c>
      <c r="I4" s="515" t="s">
        <v>293</v>
      </c>
      <c r="J4" s="516" t="s">
        <v>1</v>
      </c>
    </row>
    <row r="5" spans="2:10" ht="15" customHeight="1" x14ac:dyDescent="0.2">
      <c r="B5" s="517" t="s">
        <v>532</v>
      </c>
      <c r="C5" s="756" t="s">
        <v>560</v>
      </c>
      <c r="D5" s="753" t="s">
        <v>571</v>
      </c>
      <c r="E5" s="755" t="s">
        <v>564</v>
      </c>
      <c r="F5" s="518">
        <v>2265.7539999999999</v>
      </c>
      <c r="G5" s="518">
        <v>190.024</v>
      </c>
      <c r="H5" s="518">
        <v>1543.0619999999999</v>
      </c>
      <c r="I5" s="518">
        <v>1707.123</v>
      </c>
      <c r="J5" s="519">
        <v>710</v>
      </c>
    </row>
    <row r="6" spans="2:10" ht="15" customHeight="1" x14ac:dyDescent="0.2">
      <c r="B6" s="520" t="s">
        <v>533</v>
      </c>
      <c r="C6" s="751" t="s">
        <v>560</v>
      </c>
      <c r="D6" s="751" t="s">
        <v>562</v>
      </c>
      <c r="E6" s="754" t="s">
        <v>558</v>
      </c>
      <c r="F6" s="521">
        <v>1651.2260000000001</v>
      </c>
      <c r="G6" s="521">
        <v>259.964</v>
      </c>
      <c r="H6" s="521">
        <v>990.53099999999995</v>
      </c>
      <c r="I6" s="521">
        <v>1263.4449999999999</v>
      </c>
      <c r="J6" s="522">
        <v>431</v>
      </c>
    </row>
    <row r="7" spans="2:10" ht="15" customHeight="1" x14ac:dyDescent="0.2">
      <c r="B7" s="520" t="s">
        <v>534</v>
      </c>
      <c r="C7" s="751" t="s">
        <v>560</v>
      </c>
      <c r="D7" s="751" t="s">
        <v>563</v>
      </c>
      <c r="E7" s="754" t="s">
        <v>565</v>
      </c>
      <c r="F7" s="521">
        <v>1646.1210000000001</v>
      </c>
      <c r="G7" s="521">
        <v>199.59100000000001</v>
      </c>
      <c r="H7" s="521">
        <v>895.15200000000004</v>
      </c>
      <c r="I7" s="521">
        <v>1306.691</v>
      </c>
      <c r="J7" s="522">
        <v>477</v>
      </c>
    </row>
    <row r="8" spans="2:10" ht="15" customHeight="1" x14ac:dyDescent="0.2">
      <c r="B8" s="520" t="s">
        <v>535</v>
      </c>
      <c r="C8" s="751" t="s">
        <v>560</v>
      </c>
      <c r="D8" s="751" t="s">
        <v>554</v>
      </c>
      <c r="E8" s="754" t="s">
        <v>566</v>
      </c>
      <c r="F8" s="521">
        <v>971.976</v>
      </c>
      <c r="G8" s="521">
        <v>131.86600000000001</v>
      </c>
      <c r="H8" s="521">
        <v>681.55600000000004</v>
      </c>
      <c r="I8" s="521">
        <v>754.87300000000005</v>
      </c>
      <c r="J8" s="522">
        <v>385</v>
      </c>
    </row>
    <row r="9" spans="2:10" ht="15" customHeight="1" x14ac:dyDescent="0.2">
      <c r="B9" s="520" t="s">
        <v>536</v>
      </c>
      <c r="C9" s="751" t="s">
        <v>560</v>
      </c>
      <c r="D9" s="751" t="s">
        <v>556</v>
      </c>
      <c r="E9" s="754" t="s">
        <v>567</v>
      </c>
      <c r="F9" s="521">
        <v>852.10199999999998</v>
      </c>
      <c r="G9" s="521">
        <v>150.93199999999999</v>
      </c>
      <c r="H9" s="521">
        <v>610.173</v>
      </c>
      <c r="I9" s="521">
        <v>638.00300000000004</v>
      </c>
      <c r="J9" s="522">
        <v>356</v>
      </c>
    </row>
    <row r="10" spans="2:10" ht="15" customHeight="1" x14ac:dyDescent="0.2">
      <c r="B10" s="520" t="s">
        <v>537</v>
      </c>
      <c r="C10" s="751" t="s">
        <v>560</v>
      </c>
      <c r="D10" s="751" t="s">
        <v>557</v>
      </c>
      <c r="E10" s="754" t="s">
        <v>568</v>
      </c>
      <c r="F10" s="521">
        <v>532.89400000000001</v>
      </c>
      <c r="G10" s="521">
        <v>71.272999999999996</v>
      </c>
      <c r="H10" s="521">
        <v>398.88900000000001</v>
      </c>
      <c r="I10" s="521">
        <v>393.8</v>
      </c>
      <c r="J10" s="522">
        <v>244</v>
      </c>
    </row>
    <row r="11" spans="2:10" ht="24" x14ac:dyDescent="0.2">
      <c r="B11" s="520" t="s">
        <v>538</v>
      </c>
      <c r="C11" s="751" t="s">
        <v>560</v>
      </c>
      <c r="D11" s="751" t="s">
        <v>555</v>
      </c>
      <c r="E11" s="754" t="s">
        <v>569</v>
      </c>
      <c r="F11" s="521">
        <v>487.68200000000002</v>
      </c>
      <c r="G11" s="521">
        <v>63.039000000000001</v>
      </c>
      <c r="H11" s="521">
        <v>304.31</v>
      </c>
      <c r="I11" s="521">
        <v>362.17099999999999</v>
      </c>
      <c r="J11" s="522">
        <v>156</v>
      </c>
    </row>
    <row r="12" spans="2:10" ht="15" customHeight="1" x14ac:dyDescent="0.2">
      <c r="B12" s="523" t="s">
        <v>539</v>
      </c>
      <c r="C12" s="750" t="s">
        <v>561</v>
      </c>
      <c r="D12" s="750" t="s">
        <v>559</v>
      </c>
      <c r="E12" s="752" t="s">
        <v>570</v>
      </c>
      <c r="F12" s="524">
        <v>210.24799999999999</v>
      </c>
      <c r="G12" s="524">
        <v>19.466999999999999</v>
      </c>
      <c r="H12" s="524">
        <v>102.84</v>
      </c>
      <c r="I12" s="524">
        <v>167.83</v>
      </c>
      <c r="J12" s="525">
        <v>212</v>
      </c>
    </row>
    <row r="13" spans="2:10" ht="15" customHeight="1" thickBot="1" x14ac:dyDescent="0.25">
      <c r="B13" s="526"/>
      <c r="C13" s="527"/>
      <c r="D13" s="528"/>
      <c r="E13" s="529" t="s">
        <v>64</v>
      </c>
      <c r="F13" s="529">
        <f>SUM(F5:F12)</f>
        <v>8618.0030000000006</v>
      </c>
      <c r="G13" s="529">
        <f t="shared" ref="G13:I13" si="0">SUM(G5:G12)</f>
        <v>1086.1560000000002</v>
      </c>
      <c r="H13" s="529">
        <f t="shared" si="0"/>
        <v>5526.5129999999999</v>
      </c>
      <c r="I13" s="529">
        <f t="shared" si="0"/>
        <v>6593.9359999999997</v>
      </c>
      <c r="J13" s="749">
        <f>SUM(J5:J12)</f>
        <v>2971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H35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52.85546875" style="4" customWidth="1"/>
    <col min="2" max="2" width="15.5703125" style="4" customWidth="1"/>
    <col min="3" max="3" width="7.5703125" style="4" customWidth="1"/>
    <col min="4" max="4" width="15.5703125" style="4" customWidth="1"/>
    <col min="5" max="5" width="7.28515625" style="4" customWidth="1"/>
    <col min="6" max="6" width="16.7109375" style="4" customWidth="1"/>
    <col min="7" max="7" width="6.140625" style="4" customWidth="1"/>
    <col min="8" max="8" width="12.140625" style="4" customWidth="1"/>
    <col min="9" max="16384" width="9.140625" style="4"/>
  </cols>
  <sheetData>
    <row r="1" spans="1:8" hidden="1" x14ac:dyDescent="0.2"/>
    <row r="2" spans="1:8" ht="15" x14ac:dyDescent="0.2">
      <c r="A2" s="29"/>
    </row>
    <row r="3" spans="1:8" x14ac:dyDescent="0.2">
      <c r="A3" s="138" t="s">
        <v>489</v>
      </c>
      <c r="B3" s="442"/>
      <c r="C3" s="442"/>
      <c r="D3" s="442"/>
      <c r="E3" s="442"/>
      <c r="F3" s="442"/>
      <c r="G3" s="442"/>
      <c r="H3" s="443" t="s">
        <v>399</v>
      </c>
    </row>
    <row r="4" spans="1:8" ht="14.1" customHeight="1" x14ac:dyDescent="0.2">
      <c r="A4" s="767" t="s">
        <v>12</v>
      </c>
      <c r="B4" s="781" t="s">
        <v>529</v>
      </c>
      <c r="C4" s="782"/>
      <c r="D4" s="781" t="s">
        <v>530</v>
      </c>
      <c r="E4" s="782"/>
      <c r="F4" s="781" t="s">
        <v>531</v>
      </c>
      <c r="G4" s="782"/>
      <c r="H4" s="795" t="s">
        <v>11</v>
      </c>
    </row>
    <row r="5" spans="1:8" ht="14.1" customHeight="1" x14ac:dyDescent="0.2">
      <c r="A5" s="780"/>
      <c r="B5" s="121" t="s">
        <v>2</v>
      </c>
      <c r="C5" s="122" t="s">
        <v>3</v>
      </c>
      <c r="D5" s="121" t="s">
        <v>2</v>
      </c>
      <c r="E5" s="122" t="s">
        <v>3</v>
      </c>
      <c r="F5" s="121" t="s">
        <v>2</v>
      </c>
      <c r="G5" s="122" t="s">
        <v>3</v>
      </c>
      <c r="H5" s="886"/>
    </row>
    <row r="6" spans="1:8" x14ac:dyDescent="0.2">
      <c r="A6" s="123" t="s">
        <v>405</v>
      </c>
      <c r="B6" s="124"/>
      <c r="C6" s="125"/>
      <c r="D6" s="124"/>
      <c r="E6" s="125"/>
      <c r="F6" s="124"/>
      <c r="G6" s="125"/>
      <c r="H6" s="126" t="str">
        <f t="shared" ref="H6:H35" si="0">IF(D6&lt;&gt;0,F6/D6*100,"")</f>
        <v/>
      </c>
    </row>
    <row r="7" spans="1:8" x14ac:dyDescent="0.2">
      <c r="A7" s="493" t="s">
        <v>14</v>
      </c>
      <c r="B7" s="494">
        <v>1886.54</v>
      </c>
      <c r="C7" s="495">
        <f t="shared" ref="C7:C13" si="1">IF(B$14&lt;&gt;0,B7*100/B$14,0)</f>
        <v>21.574925904595226</v>
      </c>
      <c r="D7" s="494">
        <v>1920.242</v>
      </c>
      <c r="E7" s="495">
        <f t="shared" ref="E7:E13" si="2">IF(D$14&lt;&gt;0,D7*100/D$14,0)</f>
        <v>21.601966431174915</v>
      </c>
      <c r="F7" s="494">
        <v>1960.0989999999999</v>
      </c>
      <c r="G7" s="495">
        <f t="shared" ref="G7:G13" si="3">IF(F$14&lt;&gt;0,F7*100/F$14,0)</f>
        <v>21.796229998660042</v>
      </c>
      <c r="H7" s="496">
        <f t="shared" si="0"/>
        <v>102.07562380158335</v>
      </c>
    </row>
    <row r="8" spans="1:8" x14ac:dyDescent="0.2">
      <c r="A8" s="497" t="s">
        <v>15</v>
      </c>
      <c r="B8" s="498">
        <v>921.66399999999999</v>
      </c>
      <c r="C8" s="499">
        <f t="shared" si="1"/>
        <v>10.540371531445318</v>
      </c>
      <c r="D8" s="498">
        <v>1050.6369999999999</v>
      </c>
      <c r="E8" s="499">
        <f t="shared" si="2"/>
        <v>11.819252576159839</v>
      </c>
      <c r="F8" s="498">
        <v>1115.6199999999999</v>
      </c>
      <c r="G8" s="499">
        <f t="shared" si="3"/>
        <v>12.405654056813004</v>
      </c>
      <c r="H8" s="500">
        <f t="shared" si="0"/>
        <v>106.18510484591728</v>
      </c>
    </row>
    <row r="9" spans="1:8" x14ac:dyDescent="0.2">
      <c r="A9" s="497" t="s">
        <v>16</v>
      </c>
      <c r="B9" s="498">
        <v>40.851999999999997</v>
      </c>
      <c r="C9" s="499">
        <f t="shared" si="1"/>
        <v>0.46719331318420182</v>
      </c>
      <c r="D9" s="498">
        <v>44.79</v>
      </c>
      <c r="E9" s="499">
        <f t="shared" si="2"/>
        <v>0.5038698645547407</v>
      </c>
      <c r="F9" s="498">
        <v>20.622</v>
      </c>
      <c r="G9" s="499">
        <f t="shared" si="3"/>
        <v>0.2293158942647118</v>
      </c>
      <c r="H9" s="500">
        <f t="shared" si="0"/>
        <v>46.041527126590758</v>
      </c>
    </row>
    <row r="10" spans="1:8" ht="14.1" customHeight="1" x14ac:dyDescent="0.2">
      <c r="A10" s="497" t="s">
        <v>17</v>
      </c>
      <c r="B10" s="498">
        <v>5463.2929999999997</v>
      </c>
      <c r="C10" s="499">
        <f t="shared" si="1"/>
        <v>62.479534846912202</v>
      </c>
      <c r="D10" s="498">
        <v>5493.8069999999998</v>
      </c>
      <c r="E10" s="499">
        <f t="shared" si="2"/>
        <v>61.803165639202646</v>
      </c>
      <c r="F10" s="498">
        <v>5526.5129999999999</v>
      </c>
      <c r="G10" s="499">
        <f t="shared" si="3"/>
        <v>61.454624709560441</v>
      </c>
      <c r="H10" s="500">
        <f t="shared" si="0"/>
        <v>100.59532488127086</v>
      </c>
    </row>
    <row r="11" spans="1:8" x14ac:dyDescent="0.2">
      <c r="A11" s="497" t="s">
        <v>28</v>
      </c>
      <c r="B11" s="498">
        <v>10.461</v>
      </c>
      <c r="C11" s="499">
        <f t="shared" si="1"/>
        <v>0.11963451603887046</v>
      </c>
      <c r="D11" s="498">
        <v>21.193000000000001</v>
      </c>
      <c r="E11" s="499">
        <f t="shared" si="2"/>
        <v>0.23841290554830591</v>
      </c>
      <c r="F11" s="498">
        <v>31.198</v>
      </c>
      <c r="G11" s="499">
        <f t="shared" si="3"/>
        <v>0.34692063181410532</v>
      </c>
      <c r="H11" s="500">
        <f t="shared" si="0"/>
        <v>147.2089840985231</v>
      </c>
    </row>
    <row r="12" spans="1:8" ht="14.1" customHeight="1" x14ac:dyDescent="0.2">
      <c r="A12" s="497" t="s">
        <v>18</v>
      </c>
      <c r="B12" s="498">
        <v>214.768</v>
      </c>
      <c r="C12" s="499">
        <f t="shared" si="1"/>
        <v>2.4561385852821074</v>
      </c>
      <c r="D12" s="498">
        <v>202.76400000000001</v>
      </c>
      <c r="E12" s="499">
        <f t="shared" si="2"/>
        <v>2.2810151644692445</v>
      </c>
      <c r="F12" s="498">
        <v>198.66300000000001</v>
      </c>
      <c r="G12" s="499">
        <f t="shared" si="3"/>
        <v>2.2091253759242777</v>
      </c>
      <c r="H12" s="500">
        <f t="shared" si="0"/>
        <v>97.977451618630525</v>
      </c>
    </row>
    <row r="13" spans="1:8" ht="14.1" customHeight="1" x14ac:dyDescent="0.2">
      <c r="A13" s="497" t="s">
        <v>19</v>
      </c>
      <c r="B13" s="498">
        <v>206.554</v>
      </c>
      <c r="C13" s="499">
        <f t="shared" si="1"/>
        <v>2.3622013025420943</v>
      </c>
      <c r="D13" s="498">
        <v>155.767</v>
      </c>
      <c r="E13" s="499">
        <f t="shared" si="2"/>
        <v>1.7523174188903392</v>
      </c>
      <c r="F13" s="498">
        <v>140.12</v>
      </c>
      <c r="G13" s="499">
        <f t="shared" si="3"/>
        <v>1.5581293329634089</v>
      </c>
      <c r="H13" s="500">
        <f t="shared" si="0"/>
        <v>89.954868489474677</v>
      </c>
    </row>
    <row r="14" spans="1:8" ht="14.1" customHeight="1" x14ac:dyDescent="0.2">
      <c r="A14" s="501" t="s">
        <v>404</v>
      </c>
      <c r="B14" s="502">
        <f t="shared" ref="B14:G14" si="4">SUM(B7:B13)</f>
        <v>8744.1319999999978</v>
      </c>
      <c r="C14" s="503">
        <f t="shared" si="4"/>
        <v>100.00000000000001</v>
      </c>
      <c r="D14" s="502">
        <f t="shared" si="4"/>
        <v>8889.1999999999971</v>
      </c>
      <c r="E14" s="503">
        <f t="shared" si="4"/>
        <v>100.00000000000003</v>
      </c>
      <c r="F14" s="502">
        <f t="shared" si="4"/>
        <v>8992.8350000000009</v>
      </c>
      <c r="G14" s="503">
        <f t="shared" si="4"/>
        <v>99.999999999999986</v>
      </c>
      <c r="H14" s="504">
        <f t="shared" si="0"/>
        <v>101.16585294514697</v>
      </c>
    </row>
    <row r="15" spans="1:8" x14ac:dyDescent="0.2">
      <c r="A15" s="497" t="s">
        <v>512</v>
      </c>
      <c r="B15" s="505">
        <f>B16+B17</f>
        <v>446.47</v>
      </c>
      <c r="C15" s="499"/>
      <c r="D15" s="505">
        <f>D16+D17</f>
        <v>380.62700000000001</v>
      </c>
      <c r="E15" s="499"/>
      <c r="F15" s="505">
        <f>F16+F17</f>
        <v>374.83199999999999</v>
      </c>
      <c r="G15" s="499"/>
      <c r="H15" s="500">
        <f t="shared" si="0"/>
        <v>98.477512105026705</v>
      </c>
    </row>
    <row r="16" spans="1:8" ht="14.1" customHeight="1" x14ac:dyDescent="0.2">
      <c r="A16" s="497" t="s">
        <v>198</v>
      </c>
      <c r="B16" s="498">
        <v>376.904</v>
      </c>
      <c r="C16" s="499"/>
      <c r="D16" s="498">
        <v>357.43299999999999</v>
      </c>
      <c r="E16" s="499"/>
      <c r="F16" s="498">
        <v>352.03100000000001</v>
      </c>
      <c r="G16" s="499"/>
      <c r="H16" s="500">
        <f t="shared" si="0"/>
        <v>98.488667806274194</v>
      </c>
    </row>
    <row r="17" spans="1:8" x14ac:dyDescent="0.2">
      <c r="A17" s="506" t="s">
        <v>199</v>
      </c>
      <c r="B17" s="507">
        <v>69.566000000000003</v>
      </c>
      <c r="C17" s="508"/>
      <c r="D17" s="507">
        <v>23.193999999999999</v>
      </c>
      <c r="E17" s="508"/>
      <c r="F17" s="507">
        <v>22.800999999999998</v>
      </c>
      <c r="G17" s="508"/>
      <c r="H17" s="509">
        <f t="shared" si="0"/>
        <v>98.305596274898676</v>
      </c>
    </row>
    <row r="18" spans="1:8" ht="14.1" customHeight="1" x14ac:dyDescent="0.2">
      <c r="A18" s="130" t="s">
        <v>490</v>
      </c>
      <c r="B18" s="131">
        <f>B14-B15</f>
        <v>8297.6619999999984</v>
      </c>
      <c r="C18" s="132"/>
      <c r="D18" s="131">
        <f>D14-D15</f>
        <v>8508.5729999999967</v>
      </c>
      <c r="E18" s="132"/>
      <c r="F18" s="131">
        <f>F14-F15</f>
        <v>8618.0030000000006</v>
      </c>
      <c r="G18" s="132"/>
      <c r="H18" s="133">
        <f t="shared" si="0"/>
        <v>101.28611460464644</v>
      </c>
    </row>
    <row r="19" spans="1:8" x14ac:dyDescent="0.2">
      <c r="A19" s="510" t="s">
        <v>20</v>
      </c>
      <c r="B19" s="511">
        <f>B20+B21</f>
        <v>1136.153</v>
      </c>
      <c r="C19" s="512"/>
      <c r="D19" s="511">
        <f>D20+D21</f>
        <v>1212.6410000000001</v>
      </c>
      <c r="E19" s="512"/>
      <c r="F19" s="511">
        <f>F20+F21</f>
        <v>1197.5749999999998</v>
      </c>
      <c r="G19" s="512"/>
      <c r="H19" s="513">
        <f t="shared" si="0"/>
        <v>98.757587777421335</v>
      </c>
    </row>
    <row r="20" spans="1:8" x14ac:dyDescent="0.2">
      <c r="A20" s="497" t="s">
        <v>200</v>
      </c>
      <c r="B20" s="498">
        <v>1063.7660000000001</v>
      </c>
      <c r="C20" s="499"/>
      <c r="D20" s="498">
        <v>1129.2850000000001</v>
      </c>
      <c r="E20" s="499"/>
      <c r="F20" s="498">
        <v>1115.6569999999999</v>
      </c>
      <c r="G20" s="499"/>
      <c r="H20" s="500">
        <f t="shared" si="0"/>
        <v>98.793218718038389</v>
      </c>
    </row>
    <row r="21" spans="1:8" x14ac:dyDescent="0.2">
      <c r="A21" s="506" t="s">
        <v>201</v>
      </c>
      <c r="B21" s="507">
        <v>72.387</v>
      </c>
      <c r="C21" s="508"/>
      <c r="D21" s="507">
        <v>83.355999999999995</v>
      </c>
      <c r="E21" s="508"/>
      <c r="F21" s="507">
        <v>81.918000000000006</v>
      </c>
      <c r="G21" s="508"/>
      <c r="H21" s="509">
        <f t="shared" si="0"/>
        <v>98.274869235567934</v>
      </c>
    </row>
    <row r="22" spans="1:8" x14ac:dyDescent="0.2">
      <c r="A22" s="130" t="s">
        <v>491</v>
      </c>
      <c r="B22" s="131">
        <f>B18+B19</f>
        <v>9433.8149999999987</v>
      </c>
      <c r="C22" s="132"/>
      <c r="D22" s="131">
        <f>D18+D19</f>
        <v>9721.2139999999963</v>
      </c>
      <c r="E22" s="132"/>
      <c r="F22" s="131">
        <f>F18+F19</f>
        <v>9815.5780000000013</v>
      </c>
      <c r="G22" s="132"/>
      <c r="H22" s="133">
        <f t="shared" si="0"/>
        <v>100.97070180740806</v>
      </c>
    </row>
    <row r="23" spans="1:8" x14ac:dyDescent="0.2">
      <c r="A23" s="514" t="s">
        <v>403</v>
      </c>
      <c r="B23" s="511"/>
      <c r="C23" s="512"/>
      <c r="D23" s="511"/>
      <c r="E23" s="512"/>
      <c r="F23" s="511"/>
      <c r="G23" s="512"/>
      <c r="H23" s="513" t="str">
        <f t="shared" si="0"/>
        <v/>
      </c>
    </row>
    <row r="24" spans="1:8" x14ac:dyDescent="0.2">
      <c r="A24" s="497" t="s">
        <v>21</v>
      </c>
      <c r="B24" s="498">
        <v>6405.8320000000003</v>
      </c>
      <c r="C24" s="499">
        <f t="shared" ref="C24:C30" si="5">IF(B$31&lt;&gt;0,B24*100/B$31,0)</f>
        <v>77.200445137437512</v>
      </c>
      <c r="D24" s="498">
        <v>6515.2150000000001</v>
      </c>
      <c r="E24" s="499">
        <f t="shared" ref="E24:E30" si="6">IF(D$31&lt;&gt;0,D24*100/D$31,0)</f>
        <v>76.572358255608776</v>
      </c>
      <c r="F24" s="498">
        <v>6593.9359999999997</v>
      </c>
      <c r="G24" s="499">
        <f t="shared" ref="G24:G30" si="7">IF(F$31&lt;&gt;0,F24*100/F$31,0)</f>
        <v>76.513503186295026</v>
      </c>
      <c r="H24" s="500">
        <f t="shared" si="0"/>
        <v>101.20826404040389</v>
      </c>
    </row>
    <row r="25" spans="1:8" x14ac:dyDescent="0.2">
      <c r="A25" s="497" t="s">
        <v>22</v>
      </c>
      <c r="B25" s="498">
        <v>0</v>
      </c>
      <c r="C25" s="499">
        <f t="shared" si="5"/>
        <v>0</v>
      </c>
      <c r="D25" s="498">
        <v>0</v>
      </c>
      <c r="E25" s="499">
        <f t="shared" si="6"/>
        <v>0</v>
      </c>
      <c r="F25" s="498">
        <v>0</v>
      </c>
      <c r="G25" s="499">
        <f t="shared" si="7"/>
        <v>0</v>
      </c>
      <c r="H25" s="500" t="str">
        <f t="shared" si="0"/>
        <v/>
      </c>
    </row>
    <row r="26" spans="1:8" x14ac:dyDescent="0.2">
      <c r="A26" s="497" t="s">
        <v>23</v>
      </c>
      <c r="B26" s="498">
        <v>601.46100000000001</v>
      </c>
      <c r="C26" s="499">
        <f t="shared" si="5"/>
        <v>7.2485598955464798</v>
      </c>
      <c r="D26" s="498">
        <v>678.33500000000004</v>
      </c>
      <c r="E26" s="499">
        <f t="shared" si="6"/>
        <v>7.9723709251833412</v>
      </c>
      <c r="F26" s="498">
        <v>682.57</v>
      </c>
      <c r="G26" s="499">
        <f t="shared" si="7"/>
        <v>7.9202803712182517</v>
      </c>
      <c r="H26" s="500">
        <f t="shared" si="0"/>
        <v>100.62432279036169</v>
      </c>
    </row>
    <row r="27" spans="1:8" x14ac:dyDescent="0.2">
      <c r="A27" s="497" t="s">
        <v>222</v>
      </c>
      <c r="B27" s="498">
        <v>52.268000000000001</v>
      </c>
      <c r="C27" s="499">
        <f t="shared" si="5"/>
        <v>0.62991237772760567</v>
      </c>
      <c r="D27" s="498">
        <v>52.268000000000001</v>
      </c>
      <c r="E27" s="499">
        <f t="shared" si="6"/>
        <v>0.61429807324918051</v>
      </c>
      <c r="F27" s="498">
        <v>52.268000000000001</v>
      </c>
      <c r="G27" s="499">
        <f t="shared" si="7"/>
        <v>0.60649781625743238</v>
      </c>
      <c r="H27" s="500">
        <f t="shared" si="0"/>
        <v>100</v>
      </c>
    </row>
    <row r="28" spans="1:8" x14ac:dyDescent="0.2">
      <c r="A28" s="497" t="s">
        <v>24</v>
      </c>
      <c r="B28" s="498">
        <v>186.298</v>
      </c>
      <c r="C28" s="499">
        <f t="shared" si="5"/>
        <v>2.2451866561930336</v>
      </c>
      <c r="D28" s="498">
        <v>197.245</v>
      </c>
      <c r="E28" s="499">
        <f t="shared" si="6"/>
        <v>2.3181913112809869</v>
      </c>
      <c r="F28" s="498">
        <v>191.119</v>
      </c>
      <c r="G28" s="499">
        <f t="shared" si="7"/>
        <v>2.2176715417713364</v>
      </c>
      <c r="H28" s="500">
        <f t="shared" si="0"/>
        <v>96.894217850896098</v>
      </c>
    </row>
    <row r="29" spans="1:8" x14ac:dyDescent="0.2">
      <c r="A29" s="497" t="s">
        <v>25</v>
      </c>
      <c r="B29" s="498">
        <v>8.32</v>
      </c>
      <c r="C29" s="499">
        <f t="shared" si="5"/>
        <v>0.10026920836254839</v>
      </c>
      <c r="D29" s="498">
        <v>11.224</v>
      </c>
      <c r="E29" s="499">
        <f t="shared" si="6"/>
        <v>0.13191401190305355</v>
      </c>
      <c r="F29" s="498">
        <v>11.954000000000001</v>
      </c>
      <c r="G29" s="499">
        <f t="shared" si="7"/>
        <v>0.1387096291333387</v>
      </c>
      <c r="H29" s="500">
        <f t="shared" si="0"/>
        <v>106.50392017106201</v>
      </c>
    </row>
    <row r="30" spans="1:8" x14ac:dyDescent="0.2">
      <c r="A30" s="497" t="s">
        <v>26</v>
      </c>
      <c r="B30" s="498">
        <v>1043.4829999999999</v>
      </c>
      <c r="C30" s="499">
        <f t="shared" si="5"/>
        <v>12.575626724732821</v>
      </c>
      <c r="D30" s="498">
        <v>1054.2860000000001</v>
      </c>
      <c r="E30" s="499">
        <f t="shared" si="6"/>
        <v>12.390867422774653</v>
      </c>
      <c r="F30" s="498">
        <v>1086.1559999999999</v>
      </c>
      <c r="G30" s="499">
        <f t="shared" si="7"/>
        <v>12.603337455324628</v>
      </c>
      <c r="H30" s="500">
        <f t="shared" si="0"/>
        <v>103.02289890978349</v>
      </c>
    </row>
    <row r="31" spans="1:8" x14ac:dyDescent="0.2">
      <c r="A31" s="501" t="s">
        <v>492</v>
      </c>
      <c r="B31" s="502">
        <f>SUM(B24:B30)</f>
        <v>8297.6620000000003</v>
      </c>
      <c r="C31" s="503">
        <f t="shared" ref="C31:G31" si="8">SUM(C24:C30)</f>
        <v>100</v>
      </c>
      <c r="D31" s="502">
        <f t="shared" si="8"/>
        <v>8508.5730000000003</v>
      </c>
      <c r="E31" s="503">
        <f t="shared" si="8"/>
        <v>99.999999999999972</v>
      </c>
      <c r="F31" s="502">
        <f t="shared" si="8"/>
        <v>8618.0029999999988</v>
      </c>
      <c r="G31" s="503">
        <f t="shared" si="8"/>
        <v>100.00000000000003</v>
      </c>
      <c r="H31" s="504">
        <f t="shared" si="0"/>
        <v>101.28611460464639</v>
      </c>
    </row>
    <row r="32" spans="1:8" x14ac:dyDescent="0.2">
      <c r="A32" s="497" t="s">
        <v>27</v>
      </c>
      <c r="B32" s="505">
        <f>B33+B34</f>
        <v>1136.153</v>
      </c>
      <c r="C32" s="499"/>
      <c r="D32" s="505">
        <f>D33+D34</f>
        <v>1212.6410000000001</v>
      </c>
      <c r="E32" s="499"/>
      <c r="F32" s="505">
        <f>F33+F34</f>
        <v>1197.5749999999998</v>
      </c>
      <c r="G32" s="499"/>
      <c r="H32" s="500">
        <f t="shared" si="0"/>
        <v>98.757587777421335</v>
      </c>
    </row>
    <row r="33" spans="1:8" x14ac:dyDescent="0.2">
      <c r="A33" s="497" t="s">
        <v>202</v>
      </c>
      <c r="B33" s="498">
        <f>B20</f>
        <v>1063.7660000000001</v>
      </c>
      <c r="C33" s="499"/>
      <c r="D33" s="498">
        <f>D20</f>
        <v>1129.2850000000001</v>
      </c>
      <c r="E33" s="499"/>
      <c r="F33" s="498">
        <f>F20</f>
        <v>1115.6569999999999</v>
      </c>
      <c r="G33" s="499"/>
      <c r="H33" s="500">
        <f t="shared" si="0"/>
        <v>98.793218718038389</v>
      </c>
    </row>
    <row r="34" spans="1:8" x14ac:dyDescent="0.2">
      <c r="A34" s="506" t="s">
        <v>203</v>
      </c>
      <c r="B34" s="507">
        <f>B21</f>
        <v>72.387</v>
      </c>
      <c r="C34" s="508"/>
      <c r="D34" s="507">
        <f>D21</f>
        <v>83.355999999999995</v>
      </c>
      <c r="E34" s="508"/>
      <c r="F34" s="507">
        <f>F21</f>
        <v>81.918000000000006</v>
      </c>
      <c r="G34" s="508"/>
      <c r="H34" s="509">
        <f t="shared" si="0"/>
        <v>98.274869235567934</v>
      </c>
    </row>
    <row r="35" spans="1:8" ht="12.75" thickBot="1" x14ac:dyDescent="0.25">
      <c r="A35" s="134" t="s">
        <v>493</v>
      </c>
      <c r="B35" s="135">
        <f>B31+B32</f>
        <v>9433.8150000000005</v>
      </c>
      <c r="C35" s="136"/>
      <c r="D35" s="135">
        <f>D31+D32</f>
        <v>9721.2139999999999</v>
      </c>
      <c r="E35" s="136"/>
      <c r="F35" s="135">
        <f>F31+F32</f>
        <v>9815.5779999999977</v>
      </c>
      <c r="G35" s="136"/>
      <c r="H35" s="137">
        <f t="shared" si="0"/>
        <v>100.97070180740799</v>
      </c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mergeCells count="5">
    <mergeCell ref="F4:G4"/>
    <mergeCell ref="A4:A5"/>
    <mergeCell ref="B4:C4"/>
    <mergeCell ref="D4:E4"/>
    <mergeCell ref="H4:H5"/>
  </mergeCells>
  <pageMargins left="0.7" right="0.7" top="0.75" bottom="0.75" header="0.3" footer="0.3"/>
  <pageSetup paperSize="9" scale="98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677" t="s">
        <v>531</v>
      </c>
    </row>
    <row r="2" spans="1:11" ht="15" customHeight="1" x14ac:dyDescent="0.2">
      <c r="A2" s="440" t="s">
        <v>338</v>
      </c>
      <c r="B2" s="484" t="s">
        <v>495</v>
      </c>
      <c r="C2" s="440"/>
      <c r="D2" s="440"/>
      <c r="E2" s="440"/>
      <c r="F2" s="440"/>
      <c r="G2" s="440"/>
      <c r="H2" s="440"/>
      <c r="I2" s="440"/>
      <c r="J2" s="440"/>
      <c r="K2" s="423"/>
    </row>
    <row r="3" spans="1:11" ht="15" customHeight="1" x14ac:dyDescent="0.2">
      <c r="A3" s="887" t="s">
        <v>239</v>
      </c>
      <c r="B3" s="889" t="s">
        <v>242</v>
      </c>
      <c r="C3" s="890"/>
      <c r="D3" s="890"/>
      <c r="E3" s="880" t="s">
        <v>212</v>
      </c>
      <c r="F3" s="889" t="s">
        <v>243</v>
      </c>
      <c r="G3" s="890"/>
      <c r="H3" s="890"/>
      <c r="I3" s="880" t="s">
        <v>244</v>
      </c>
      <c r="J3" s="879" t="s">
        <v>245</v>
      </c>
      <c r="K3" s="783" t="s">
        <v>496</v>
      </c>
    </row>
    <row r="4" spans="1:11" x14ac:dyDescent="0.2">
      <c r="A4" s="888"/>
      <c r="B4" s="264">
        <v>1</v>
      </c>
      <c r="C4" s="441">
        <v>2</v>
      </c>
      <c r="D4" s="441">
        <v>3</v>
      </c>
      <c r="E4" s="891"/>
      <c r="F4" s="441">
        <v>1</v>
      </c>
      <c r="G4" s="441">
        <v>2</v>
      </c>
      <c r="H4" s="441">
        <v>3</v>
      </c>
      <c r="I4" s="891"/>
      <c r="J4" s="892"/>
      <c r="K4" s="792"/>
    </row>
    <row r="5" spans="1:11" x14ac:dyDescent="0.2">
      <c r="A5" s="179" t="s">
        <v>246</v>
      </c>
      <c r="B5" s="551">
        <f>SUM(B6:B26)</f>
        <v>2381.2469999999998</v>
      </c>
      <c r="C5" s="552">
        <f t="shared" ref="C5:D5" si="0">SUM(C6:C26)</f>
        <v>382.62300000000005</v>
      </c>
      <c r="D5" s="552">
        <f t="shared" si="0"/>
        <v>154.21100000000004</v>
      </c>
      <c r="E5" s="553">
        <f t="shared" ref="E5:E31" si="1">B5+C5+D5</f>
        <v>2918.0810000000001</v>
      </c>
      <c r="F5" s="552">
        <f>SUM(F6:F26)</f>
        <v>31.959000000000003</v>
      </c>
      <c r="G5" s="552">
        <f t="shared" ref="G5" si="2">SUM(G6:G26)</f>
        <v>37.280000000000008</v>
      </c>
      <c r="H5" s="552">
        <f t="shared" ref="H5" si="3">SUM(H6:H26)</f>
        <v>118.62199999999997</v>
      </c>
      <c r="I5" s="553">
        <f t="shared" ref="I5:I31" si="4">F5+G5+H5</f>
        <v>187.86099999999999</v>
      </c>
      <c r="J5" s="554">
        <f t="shared" ref="J5:J31" si="5">IF(E5&lt;&gt;0,D5*100/E5,"-")</f>
        <v>5.2846716729247758</v>
      </c>
      <c r="K5" s="554">
        <f t="shared" ref="K5:K31" si="6">IF(D5&lt;&gt;0,H5*100/D5,"-")</f>
        <v>76.92187976214403</v>
      </c>
    </row>
    <row r="6" spans="1:11" x14ac:dyDescent="0.2">
      <c r="A6" s="546" t="s">
        <v>247</v>
      </c>
      <c r="B6" s="547">
        <v>68.786000000000001</v>
      </c>
      <c r="C6" s="548">
        <v>7.9850000000000003</v>
      </c>
      <c r="D6" s="548">
        <v>9.2080000000000002</v>
      </c>
      <c r="E6" s="549">
        <f t="shared" si="1"/>
        <v>85.978999999999999</v>
      </c>
      <c r="F6" s="548">
        <v>1.0429999999999999</v>
      </c>
      <c r="G6" s="548">
        <v>1.361</v>
      </c>
      <c r="H6" s="548">
        <v>8.4589999999999996</v>
      </c>
      <c r="I6" s="549">
        <f t="shared" si="4"/>
        <v>10.863</v>
      </c>
      <c r="J6" s="550">
        <f t="shared" si="5"/>
        <v>10.709591877086266</v>
      </c>
      <c r="K6" s="550">
        <f t="shared" si="6"/>
        <v>91.865768896611641</v>
      </c>
    </row>
    <row r="7" spans="1:11" x14ac:dyDescent="0.2">
      <c r="A7" s="530" t="s">
        <v>248</v>
      </c>
      <c r="B7" s="531">
        <v>33.600999999999999</v>
      </c>
      <c r="C7" s="532">
        <v>9.8829999999999991</v>
      </c>
      <c r="D7" s="532">
        <v>0.82399999999999995</v>
      </c>
      <c r="E7" s="533">
        <f t="shared" si="1"/>
        <v>44.307999999999993</v>
      </c>
      <c r="F7" s="532">
        <v>0.61799999999999999</v>
      </c>
      <c r="G7" s="532">
        <v>0.66600000000000004</v>
      </c>
      <c r="H7" s="532">
        <v>0.75800000000000001</v>
      </c>
      <c r="I7" s="533">
        <f t="shared" si="4"/>
        <v>2.0419999999999998</v>
      </c>
      <c r="J7" s="534">
        <f t="shared" si="5"/>
        <v>1.859709307574253</v>
      </c>
      <c r="K7" s="534">
        <f t="shared" si="6"/>
        <v>91.990291262135926</v>
      </c>
    </row>
    <row r="8" spans="1:11" x14ac:dyDescent="0.2">
      <c r="A8" s="530" t="s">
        <v>249</v>
      </c>
      <c r="B8" s="531">
        <v>343.61</v>
      </c>
      <c r="C8" s="532">
        <v>94.677000000000007</v>
      </c>
      <c r="D8" s="532">
        <v>51.834000000000003</v>
      </c>
      <c r="E8" s="533">
        <f t="shared" si="1"/>
        <v>490.12100000000004</v>
      </c>
      <c r="F8" s="532">
        <v>5.7750000000000004</v>
      </c>
      <c r="G8" s="532">
        <v>9.4760000000000009</v>
      </c>
      <c r="H8" s="532">
        <v>39.963000000000001</v>
      </c>
      <c r="I8" s="533">
        <f t="shared" si="4"/>
        <v>55.213999999999999</v>
      </c>
      <c r="J8" s="534">
        <f t="shared" si="5"/>
        <v>10.575755782755687</v>
      </c>
      <c r="K8" s="534">
        <f t="shared" si="6"/>
        <v>77.098043755064239</v>
      </c>
    </row>
    <row r="9" spans="1:11" ht="24" x14ac:dyDescent="0.2">
      <c r="A9" s="530" t="s">
        <v>250</v>
      </c>
      <c r="B9" s="531">
        <v>132.803</v>
      </c>
      <c r="C9" s="532">
        <v>20.172000000000001</v>
      </c>
      <c r="D9" s="532">
        <v>0.36499999999999999</v>
      </c>
      <c r="E9" s="533">
        <f t="shared" si="1"/>
        <v>153.34</v>
      </c>
      <c r="F9" s="532">
        <v>1.468</v>
      </c>
      <c r="G9" s="532">
        <v>1.9750000000000001</v>
      </c>
      <c r="H9" s="532">
        <v>0.254</v>
      </c>
      <c r="I9" s="533">
        <f t="shared" si="4"/>
        <v>3.6970000000000001</v>
      </c>
      <c r="J9" s="534">
        <f t="shared" si="5"/>
        <v>0.23803312899439155</v>
      </c>
      <c r="K9" s="534">
        <f t="shared" si="6"/>
        <v>69.589041095890408</v>
      </c>
    </row>
    <row r="10" spans="1:11" ht="24" x14ac:dyDescent="0.2">
      <c r="A10" s="530" t="s">
        <v>251</v>
      </c>
      <c r="B10" s="531">
        <v>19.632000000000001</v>
      </c>
      <c r="C10" s="532">
        <v>6.1740000000000004</v>
      </c>
      <c r="D10" s="532">
        <v>0.95899999999999996</v>
      </c>
      <c r="E10" s="533">
        <f t="shared" si="1"/>
        <v>26.765000000000001</v>
      </c>
      <c r="F10" s="532">
        <v>0.31</v>
      </c>
      <c r="G10" s="532">
        <v>0.68200000000000005</v>
      </c>
      <c r="H10" s="532">
        <v>0.85299999999999998</v>
      </c>
      <c r="I10" s="533">
        <f t="shared" si="4"/>
        <v>1.845</v>
      </c>
      <c r="J10" s="534">
        <f t="shared" si="5"/>
        <v>3.5830375490379223</v>
      </c>
      <c r="K10" s="534">
        <f t="shared" si="6"/>
        <v>88.946819603753909</v>
      </c>
    </row>
    <row r="11" spans="1:11" x14ac:dyDescent="0.2">
      <c r="A11" s="530" t="s">
        <v>252</v>
      </c>
      <c r="B11" s="531">
        <v>200.8</v>
      </c>
      <c r="C11" s="532">
        <v>44.396000000000001</v>
      </c>
      <c r="D11" s="532">
        <v>10.593</v>
      </c>
      <c r="E11" s="533">
        <f t="shared" si="1"/>
        <v>255.78900000000002</v>
      </c>
      <c r="F11" s="532">
        <v>2.5979999999999999</v>
      </c>
      <c r="G11" s="532">
        <v>4.4560000000000004</v>
      </c>
      <c r="H11" s="532">
        <v>6.5149999999999997</v>
      </c>
      <c r="I11" s="533">
        <f t="shared" si="4"/>
        <v>13.568999999999999</v>
      </c>
      <c r="J11" s="534">
        <f t="shared" si="5"/>
        <v>4.1413039653777135</v>
      </c>
      <c r="K11" s="534">
        <f t="shared" si="6"/>
        <v>61.502879259888608</v>
      </c>
    </row>
    <row r="12" spans="1:11" ht="24" x14ac:dyDescent="0.2">
      <c r="A12" s="530" t="s">
        <v>253</v>
      </c>
      <c r="B12" s="531">
        <v>470.60700000000003</v>
      </c>
      <c r="C12" s="532">
        <v>70.885999999999996</v>
      </c>
      <c r="D12" s="532">
        <v>61.000999999999998</v>
      </c>
      <c r="E12" s="533">
        <f t="shared" si="1"/>
        <v>602.49400000000003</v>
      </c>
      <c r="F12" s="532">
        <v>6.6989999999999998</v>
      </c>
      <c r="G12" s="532">
        <v>5.7530000000000001</v>
      </c>
      <c r="H12" s="532">
        <v>49.87</v>
      </c>
      <c r="I12" s="533">
        <f t="shared" si="4"/>
        <v>62.321999999999996</v>
      </c>
      <c r="J12" s="534">
        <f t="shared" si="5"/>
        <v>10.124748130271835</v>
      </c>
      <c r="K12" s="534">
        <f t="shared" si="6"/>
        <v>81.752758151505716</v>
      </c>
    </row>
    <row r="13" spans="1:11" x14ac:dyDescent="0.2">
      <c r="A13" s="530" t="s">
        <v>254</v>
      </c>
      <c r="B13" s="531">
        <v>77.477999999999994</v>
      </c>
      <c r="C13" s="532">
        <v>26.800999999999998</v>
      </c>
      <c r="D13" s="532">
        <v>3.9630000000000001</v>
      </c>
      <c r="E13" s="533">
        <f t="shared" si="1"/>
        <v>108.24199999999999</v>
      </c>
      <c r="F13" s="532">
        <v>1.5940000000000001</v>
      </c>
      <c r="G13" s="532">
        <v>2.6080000000000001</v>
      </c>
      <c r="H13" s="532">
        <v>3.05</v>
      </c>
      <c r="I13" s="533">
        <f t="shared" si="4"/>
        <v>7.2519999999999998</v>
      </c>
      <c r="J13" s="534">
        <f t="shared" si="5"/>
        <v>3.6612405535743986</v>
      </c>
      <c r="K13" s="534">
        <f t="shared" si="6"/>
        <v>76.961897552359318</v>
      </c>
    </row>
    <row r="14" spans="1:11" ht="24" x14ac:dyDescent="0.2">
      <c r="A14" s="530" t="s">
        <v>255</v>
      </c>
      <c r="B14" s="531">
        <v>31.521999999999998</v>
      </c>
      <c r="C14" s="532">
        <v>33.244999999999997</v>
      </c>
      <c r="D14" s="532">
        <v>6.0490000000000004</v>
      </c>
      <c r="E14" s="533">
        <f t="shared" si="1"/>
        <v>70.816000000000003</v>
      </c>
      <c r="F14" s="532">
        <v>0.48499999999999999</v>
      </c>
      <c r="G14" s="532">
        <v>4.4390000000000001</v>
      </c>
      <c r="H14" s="532">
        <v>1.774</v>
      </c>
      <c r="I14" s="533">
        <f t="shared" si="4"/>
        <v>6.6980000000000004</v>
      </c>
      <c r="J14" s="534">
        <f t="shared" si="5"/>
        <v>8.5418549480343433</v>
      </c>
      <c r="K14" s="534">
        <f t="shared" si="6"/>
        <v>29.327161514299885</v>
      </c>
    </row>
    <row r="15" spans="1:11" x14ac:dyDescent="0.2">
      <c r="A15" s="530" t="s">
        <v>256</v>
      </c>
      <c r="B15" s="531">
        <v>125.506</v>
      </c>
      <c r="C15" s="532">
        <v>1.5640000000000001</v>
      </c>
      <c r="D15" s="532">
        <v>0.25600000000000001</v>
      </c>
      <c r="E15" s="533">
        <f t="shared" si="1"/>
        <v>127.32599999999999</v>
      </c>
      <c r="F15" s="532">
        <v>1.173</v>
      </c>
      <c r="G15" s="532">
        <v>0.12</v>
      </c>
      <c r="H15" s="532">
        <v>0.219</v>
      </c>
      <c r="I15" s="533">
        <f t="shared" si="4"/>
        <v>1.5120000000000002</v>
      </c>
      <c r="J15" s="534">
        <f t="shared" si="5"/>
        <v>0.20105869971569046</v>
      </c>
      <c r="K15" s="534">
        <f t="shared" si="6"/>
        <v>85.546874999999986</v>
      </c>
    </row>
    <row r="16" spans="1:11" x14ac:dyDescent="0.2">
      <c r="A16" s="530" t="s">
        <v>257</v>
      </c>
      <c r="B16" s="531">
        <v>92.271000000000001</v>
      </c>
      <c r="C16" s="532">
        <v>6.282</v>
      </c>
      <c r="D16" s="532">
        <v>0.43099999999999999</v>
      </c>
      <c r="E16" s="533">
        <f t="shared" si="1"/>
        <v>98.983999999999995</v>
      </c>
      <c r="F16" s="532">
        <v>1.369</v>
      </c>
      <c r="G16" s="532">
        <v>1.228</v>
      </c>
      <c r="H16" s="532">
        <v>0.43099999999999999</v>
      </c>
      <c r="I16" s="533">
        <f t="shared" si="4"/>
        <v>3.028</v>
      </c>
      <c r="J16" s="534">
        <f t="shared" si="5"/>
        <v>0.43542390689404353</v>
      </c>
      <c r="K16" s="534">
        <f t="shared" si="6"/>
        <v>100</v>
      </c>
    </row>
    <row r="17" spans="1:11" x14ac:dyDescent="0.2">
      <c r="A17" s="530" t="s">
        <v>258</v>
      </c>
      <c r="B17" s="531">
        <v>21.78</v>
      </c>
      <c r="C17" s="532">
        <v>7.7930000000000001</v>
      </c>
      <c r="D17" s="532">
        <v>0.33</v>
      </c>
      <c r="E17" s="533">
        <f t="shared" si="1"/>
        <v>29.902999999999999</v>
      </c>
      <c r="F17" s="532">
        <v>0.46899999999999997</v>
      </c>
      <c r="G17" s="532">
        <v>0.502</v>
      </c>
      <c r="H17" s="532">
        <v>0.23699999999999999</v>
      </c>
      <c r="I17" s="533">
        <f t="shared" si="4"/>
        <v>1.208</v>
      </c>
      <c r="J17" s="534">
        <f t="shared" si="5"/>
        <v>1.1035682038591446</v>
      </c>
      <c r="K17" s="534">
        <f t="shared" si="6"/>
        <v>71.818181818181813</v>
      </c>
    </row>
    <row r="18" spans="1:11" x14ac:dyDescent="0.2">
      <c r="A18" s="530" t="s">
        <v>259</v>
      </c>
      <c r="B18" s="531">
        <v>51.57</v>
      </c>
      <c r="C18" s="532">
        <v>19.532</v>
      </c>
      <c r="D18" s="532">
        <v>3.1320000000000001</v>
      </c>
      <c r="E18" s="533">
        <f t="shared" si="1"/>
        <v>74.234000000000009</v>
      </c>
      <c r="F18" s="532">
        <v>0.73699999999999999</v>
      </c>
      <c r="G18" s="532">
        <v>1.7150000000000001</v>
      </c>
      <c r="H18" s="532">
        <v>2.8279999999999998</v>
      </c>
      <c r="I18" s="533">
        <f t="shared" si="4"/>
        <v>5.2799999999999994</v>
      </c>
      <c r="J18" s="534">
        <f t="shared" si="5"/>
        <v>4.219090982568634</v>
      </c>
      <c r="K18" s="534">
        <f t="shared" si="6"/>
        <v>90.29374201787995</v>
      </c>
    </row>
    <row r="19" spans="1:11" x14ac:dyDescent="0.2">
      <c r="A19" s="530" t="s">
        <v>260</v>
      </c>
      <c r="B19" s="531">
        <v>17.556999999999999</v>
      </c>
      <c r="C19" s="532">
        <v>1.3440000000000001</v>
      </c>
      <c r="D19" s="532">
        <v>0.88200000000000001</v>
      </c>
      <c r="E19" s="533">
        <f t="shared" si="1"/>
        <v>19.783000000000001</v>
      </c>
      <c r="F19" s="532">
        <v>0.34899999999999998</v>
      </c>
      <c r="G19" s="532">
        <v>0.13300000000000001</v>
      </c>
      <c r="H19" s="532">
        <v>0.81799999999999995</v>
      </c>
      <c r="I19" s="533">
        <f t="shared" si="4"/>
        <v>1.2999999999999998</v>
      </c>
      <c r="J19" s="534">
        <f t="shared" si="5"/>
        <v>4.458373350856796</v>
      </c>
      <c r="K19" s="534">
        <f t="shared" si="6"/>
        <v>92.743764172335602</v>
      </c>
    </row>
    <row r="20" spans="1:11" x14ac:dyDescent="0.2">
      <c r="A20" s="530" t="s">
        <v>261</v>
      </c>
      <c r="B20" s="531">
        <v>614.77499999999998</v>
      </c>
      <c r="C20" s="532">
        <v>8.7080000000000002</v>
      </c>
      <c r="D20" s="532">
        <v>2.2919999999999998</v>
      </c>
      <c r="E20" s="533">
        <f t="shared" si="1"/>
        <v>625.77499999999998</v>
      </c>
      <c r="F20" s="532">
        <v>6.4279999999999999</v>
      </c>
      <c r="G20" s="532">
        <v>0.98199999999999998</v>
      </c>
      <c r="H20" s="532">
        <v>0.84499999999999997</v>
      </c>
      <c r="I20" s="533">
        <f t="shared" si="4"/>
        <v>8.2550000000000008</v>
      </c>
      <c r="J20" s="534">
        <f t="shared" si="5"/>
        <v>0.36626583037034077</v>
      </c>
      <c r="K20" s="534">
        <f t="shared" si="6"/>
        <v>36.867364746945903</v>
      </c>
    </row>
    <row r="21" spans="1:11" x14ac:dyDescent="0.2">
      <c r="A21" s="530" t="s">
        <v>262</v>
      </c>
      <c r="B21" s="531">
        <v>2.0579999999999998</v>
      </c>
      <c r="C21" s="532">
        <v>2.1160000000000001</v>
      </c>
      <c r="D21" s="532">
        <v>0.86299999999999999</v>
      </c>
      <c r="E21" s="533">
        <f t="shared" si="1"/>
        <v>5.036999999999999</v>
      </c>
      <c r="F21" s="532">
        <v>1.4999999999999999E-2</v>
      </c>
      <c r="G21" s="532">
        <v>0.109</v>
      </c>
      <c r="H21" s="532">
        <v>0.52100000000000002</v>
      </c>
      <c r="I21" s="533">
        <f t="shared" si="4"/>
        <v>0.64500000000000002</v>
      </c>
      <c r="J21" s="534">
        <f t="shared" si="5"/>
        <v>17.133214214810405</v>
      </c>
      <c r="K21" s="534">
        <f t="shared" si="6"/>
        <v>60.370799536500584</v>
      </c>
    </row>
    <row r="22" spans="1:11" x14ac:dyDescent="0.2">
      <c r="A22" s="530" t="s">
        <v>263</v>
      </c>
      <c r="B22" s="531">
        <v>61.241999999999997</v>
      </c>
      <c r="C22" s="532">
        <v>17.448</v>
      </c>
      <c r="D22" s="532">
        <v>5.8999999999999997E-2</v>
      </c>
      <c r="E22" s="533">
        <f t="shared" si="1"/>
        <v>78.748999999999995</v>
      </c>
      <c r="F22" s="532">
        <v>0.51700000000000002</v>
      </c>
      <c r="G22" s="532">
        <v>0.85299999999999998</v>
      </c>
      <c r="H22" s="532">
        <v>5.8999999999999997E-2</v>
      </c>
      <c r="I22" s="533">
        <f t="shared" si="4"/>
        <v>1.429</v>
      </c>
      <c r="J22" s="534">
        <f t="shared" si="5"/>
        <v>7.4921586305857851E-2</v>
      </c>
      <c r="K22" s="534">
        <f t="shared" si="6"/>
        <v>100</v>
      </c>
    </row>
    <row r="23" spans="1:11" x14ac:dyDescent="0.2">
      <c r="A23" s="530" t="s">
        <v>264</v>
      </c>
      <c r="B23" s="531">
        <v>9.5259999999999998</v>
      </c>
      <c r="C23" s="532">
        <v>2.9710000000000001</v>
      </c>
      <c r="D23" s="532">
        <v>1.008</v>
      </c>
      <c r="E23" s="533">
        <f t="shared" si="1"/>
        <v>13.504999999999999</v>
      </c>
      <c r="F23" s="532">
        <v>8.8999999999999996E-2</v>
      </c>
      <c r="G23" s="532">
        <v>0.19</v>
      </c>
      <c r="H23" s="532">
        <v>1.008</v>
      </c>
      <c r="I23" s="533">
        <f t="shared" si="4"/>
        <v>1.2869999999999999</v>
      </c>
      <c r="J23" s="534">
        <f t="shared" si="5"/>
        <v>7.4639022584228067</v>
      </c>
      <c r="K23" s="534">
        <f t="shared" si="6"/>
        <v>100</v>
      </c>
    </row>
    <row r="24" spans="1:11" x14ac:dyDescent="0.2">
      <c r="A24" s="530" t="s">
        <v>265</v>
      </c>
      <c r="B24" s="531">
        <v>6.1230000000000002</v>
      </c>
      <c r="C24" s="532">
        <v>0.64600000000000002</v>
      </c>
      <c r="D24" s="532">
        <v>0.16200000000000001</v>
      </c>
      <c r="E24" s="533">
        <f t="shared" si="1"/>
        <v>6.931</v>
      </c>
      <c r="F24" s="532">
        <v>0.223</v>
      </c>
      <c r="G24" s="532">
        <v>3.2000000000000001E-2</v>
      </c>
      <c r="H24" s="532">
        <v>0.16</v>
      </c>
      <c r="I24" s="533">
        <f t="shared" si="4"/>
        <v>0.41500000000000004</v>
      </c>
      <c r="J24" s="534">
        <f t="shared" si="5"/>
        <v>2.3373250613187131</v>
      </c>
      <c r="K24" s="534">
        <f t="shared" si="6"/>
        <v>98.76543209876543</v>
      </c>
    </row>
    <row r="25" spans="1:11" ht="36" x14ac:dyDescent="0.2">
      <c r="A25" s="530" t="s">
        <v>266</v>
      </c>
      <c r="B25" s="531">
        <v>0</v>
      </c>
      <c r="C25" s="532">
        <v>0</v>
      </c>
      <c r="D25" s="532">
        <v>0</v>
      </c>
      <c r="E25" s="533">
        <f t="shared" si="1"/>
        <v>0</v>
      </c>
      <c r="F25" s="532">
        <v>0</v>
      </c>
      <c r="G25" s="532">
        <v>0</v>
      </c>
      <c r="H25" s="532">
        <v>0</v>
      </c>
      <c r="I25" s="533">
        <f t="shared" si="4"/>
        <v>0</v>
      </c>
      <c r="J25" s="534" t="str">
        <f t="shared" si="5"/>
        <v>-</v>
      </c>
      <c r="K25" s="534" t="str">
        <f t="shared" si="6"/>
        <v>-</v>
      </c>
    </row>
    <row r="26" spans="1:11" x14ac:dyDescent="0.2">
      <c r="A26" s="535" t="s">
        <v>267</v>
      </c>
      <c r="B26" s="536">
        <v>0</v>
      </c>
      <c r="C26" s="537">
        <v>0</v>
      </c>
      <c r="D26" s="537">
        <v>0</v>
      </c>
      <c r="E26" s="538">
        <f t="shared" si="1"/>
        <v>0</v>
      </c>
      <c r="F26" s="537">
        <v>0</v>
      </c>
      <c r="G26" s="537">
        <v>0</v>
      </c>
      <c r="H26" s="537">
        <v>0</v>
      </c>
      <c r="I26" s="538">
        <f t="shared" si="4"/>
        <v>0</v>
      </c>
      <c r="J26" s="539" t="str">
        <f t="shared" si="5"/>
        <v>-</v>
      </c>
      <c r="K26" s="539" t="str">
        <f t="shared" si="6"/>
        <v>-</v>
      </c>
    </row>
    <row r="27" spans="1:11" x14ac:dyDescent="0.2">
      <c r="A27" s="179" t="s">
        <v>268</v>
      </c>
      <c r="B27" s="551">
        <f>SUM(B28:B30)</f>
        <v>2245.4580000000001</v>
      </c>
      <c r="C27" s="552">
        <f t="shared" ref="C27:D27" si="7">SUM(C28:C30)</f>
        <v>236.62</v>
      </c>
      <c r="D27" s="552">
        <f t="shared" si="7"/>
        <v>126.352</v>
      </c>
      <c r="E27" s="553">
        <f t="shared" si="1"/>
        <v>2608.4299999999998</v>
      </c>
      <c r="F27" s="552">
        <f>SUM(F28:F30)</f>
        <v>28.545000000000002</v>
      </c>
      <c r="G27" s="552">
        <f t="shared" ref="G27" si="8">SUM(G28:G30)</f>
        <v>27.870999999999999</v>
      </c>
      <c r="H27" s="552">
        <f t="shared" ref="H27" si="9">SUM(H28:H30)</f>
        <v>107.753</v>
      </c>
      <c r="I27" s="553">
        <f t="shared" si="4"/>
        <v>164.16899999999998</v>
      </c>
      <c r="J27" s="554">
        <f t="shared" si="5"/>
        <v>4.843986612636721</v>
      </c>
      <c r="K27" s="554">
        <f t="shared" si="6"/>
        <v>85.280011396732931</v>
      </c>
    </row>
    <row r="28" spans="1:11" x14ac:dyDescent="0.2">
      <c r="A28" s="546" t="s">
        <v>269</v>
      </c>
      <c r="B28" s="547">
        <v>1420.415</v>
      </c>
      <c r="C28" s="548">
        <v>171.78399999999999</v>
      </c>
      <c r="D28" s="548">
        <v>92.804000000000002</v>
      </c>
      <c r="E28" s="549">
        <f t="shared" si="1"/>
        <v>1685.0030000000002</v>
      </c>
      <c r="F28" s="548">
        <v>21.887</v>
      </c>
      <c r="G28" s="548">
        <v>21.77</v>
      </c>
      <c r="H28" s="548">
        <v>82.313999999999993</v>
      </c>
      <c r="I28" s="549">
        <f t="shared" si="4"/>
        <v>125.97099999999999</v>
      </c>
      <c r="J28" s="550">
        <f t="shared" si="5"/>
        <v>5.5076459804522599</v>
      </c>
      <c r="K28" s="550">
        <f t="shared" si="6"/>
        <v>88.69660790483168</v>
      </c>
    </row>
    <row r="29" spans="1:11" x14ac:dyDescent="0.2">
      <c r="A29" s="530" t="s">
        <v>270</v>
      </c>
      <c r="B29" s="531">
        <v>685.30399999999997</v>
      </c>
      <c r="C29" s="532">
        <v>37.887999999999998</v>
      </c>
      <c r="D29" s="532">
        <v>17.126000000000001</v>
      </c>
      <c r="E29" s="533">
        <f t="shared" si="1"/>
        <v>740.31799999999998</v>
      </c>
      <c r="F29" s="532">
        <v>4.2460000000000004</v>
      </c>
      <c r="G29" s="532">
        <v>3.7530000000000001</v>
      </c>
      <c r="H29" s="532">
        <v>14.037000000000001</v>
      </c>
      <c r="I29" s="533">
        <f t="shared" si="4"/>
        <v>22.036000000000001</v>
      </c>
      <c r="J29" s="534">
        <f t="shared" si="5"/>
        <v>2.3133302175551589</v>
      </c>
      <c r="K29" s="534">
        <f t="shared" si="6"/>
        <v>81.963097045428</v>
      </c>
    </row>
    <row r="30" spans="1:11" x14ac:dyDescent="0.2">
      <c r="A30" s="540" t="s">
        <v>271</v>
      </c>
      <c r="B30" s="541">
        <v>139.739</v>
      </c>
      <c r="C30" s="542">
        <v>26.948</v>
      </c>
      <c r="D30" s="542">
        <v>16.422000000000001</v>
      </c>
      <c r="E30" s="543">
        <f t="shared" si="1"/>
        <v>183.10900000000001</v>
      </c>
      <c r="F30" s="542">
        <v>2.4119999999999999</v>
      </c>
      <c r="G30" s="542">
        <v>2.3479999999999999</v>
      </c>
      <c r="H30" s="542">
        <v>11.401999999999999</v>
      </c>
      <c r="I30" s="543">
        <f t="shared" si="4"/>
        <v>16.161999999999999</v>
      </c>
      <c r="J30" s="544">
        <f t="shared" si="5"/>
        <v>8.9684286408641842</v>
      </c>
      <c r="K30" s="544">
        <f t="shared" si="6"/>
        <v>69.431250761174027</v>
      </c>
    </row>
    <row r="31" spans="1:11" ht="12.75" thickBot="1" x14ac:dyDescent="0.25">
      <c r="A31" s="145" t="s">
        <v>272</v>
      </c>
      <c r="B31" s="146">
        <f>B5+B27</f>
        <v>4626.7049999999999</v>
      </c>
      <c r="C31" s="482">
        <f t="shared" ref="C31:D31" si="10">C5+C27</f>
        <v>619.24300000000005</v>
      </c>
      <c r="D31" s="482">
        <f t="shared" si="10"/>
        <v>280.56300000000005</v>
      </c>
      <c r="E31" s="481">
        <f t="shared" si="1"/>
        <v>5526.5110000000004</v>
      </c>
      <c r="F31" s="482">
        <f>F5+F27</f>
        <v>60.504000000000005</v>
      </c>
      <c r="G31" s="482">
        <f t="shared" ref="G31:H31" si="11">G5+G27</f>
        <v>65.15100000000001</v>
      </c>
      <c r="H31" s="482">
        <f t="shared" si="11"/>
        <v>226.37499999999997</v>
      </c>
      <c r="I31" s="481">
        <f t="shared" si="4"/>
        <v>352.03</v>
      </c>
      <c r="J31" s="545">
        <f t="shared" si="5"/>
        <v>5.0766749582150474</v>
      </c>
      <c r="K31" s="545">
        <f t="shared" si="6"/>
        <v>80.685977837419728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29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10" s="15" customFormat="1" x14ac:dyDescent="0.25">
      <c r="A1" s="81" t="s">
        <v>330</v>
      </c>
      <c r="B1" s="81"/>
      <c r="C1" s="81"/>
      <c r="D1" s="81"/>
      <c r="E1" s="81"/>
      <c r="F1" s="81"/>
      <c r="G1" s="81"/>
      <c r="H1" s="81"/>
      <c r="I1" s="80" t="s">
        <v>3</v>
      </c>
    </row>
    <row r="2" spans="1:10" s="15" customFormat="1" x14ac:dyDescent="0.25">
      <c r="A2" s="767" t="s">
        <v>7</v>
      </c>
      <c r="B2" s="770" t="s">
        <v>530</v>
      </c>
      <c r="C2" s="771"/>
      <c r="D2" s="771"/>
      <c r="E2" s="772"/>
      <c r="F2" s="771" t="s">
        <v>531</v>
      </c>
      <c r="G2" s="771"/>
      <c r="H2" s="771"/>
      <c r="I2" s="771"/>
    </row>
    <row r="3" spans="1:10" ht="15" customHeight="1" x14ac:dyDescent="0.25">
      <c r="A3" s="768"/>
      <c r="B3" s="773" t="s">
        <v>240</v>
      </c>
      <c r="C3" s="774"/>
      <c r="D3" s="774"/>
      <c r="E3" s="775" t="s">
        <v>8</v>
      </c>
      <c r="F3" s="774" t="s">
        <v>240</v>
      </c>
      <c r="G3" s="774"/>
      <c r="H3" s="774"/>
      <c r="I3" s="777" t="s">
        <v>8</v>
      </c>
    </row>
    <row r="4" spans="1:10" ht="33.75" x14ac:dyDescent="0.25">
      <c r="A4" s="769"/>
      <c r="B4" s="83" t="s">
        <v>400</v>
      </c>
      <c r="C4" s="84" t="s">
        <v>401</v>
      </c>
      <c r="D4" s="84" t="s">
        <v>402</v>
      </c>
      <c r="E4" s="776"/>
      <c r="F4" s="84" t="s">
        <v>400</v>
      </c>
      <c r="G4" s="84" t="s">
        <v>401</v>
      </c>
      <c r="H4" s="84" t="s">
        <v>402</v>
      </c>
      <c r="I4" s="778"/>
    </row>
    <row r="5" spans="1:10" ht="14.1" customHeight="1" x14ac:dyDescent="0.25">
      <c r="A5" s="85" t="s">
        <v>9</v>
      </c>
      <c r="B5" s="86">
        <v>36.13470278540251</v>
      </c>
      <c r="C5" s="87">
        <v>25.769762664020959</v>
      </c>
      <c r="D5" s="87">
        <v>35.653297703913069</v>
      </c>
      <c r="E5" s="88">
        <v>3</v>
      </c>
      <c r="F5" s="87">
        <v>35.300747761968275</v>
      </c>
      <c r="G5" s="87">
        <v>25.849325511252527</v>
      </c>
      <c r="H5" s="87">
        <v>34.40665787475038</v>
      </c>
      <c r="I5" s="89">
        <v>3</v>
      </c>
    </row>
    <row r="6" spans="1:10" ht="14.1" customHeight="1" thickBot="1" x14ac:dyDescent="0.3">
      <c r="A6" s="90" t="s">
        <v>10</v>
      </c>
      <c r="B6" s="91">
        <v>63.86529721459749</v>
      </c>
      <c r="C6" s="92">
        <v>74.230237335979041</v>
      </c>
      <c r="D6" s="92">
        <v>64.346702296086931</v>
      </c>
      <c r="E6" s="93">
        <v>5</v>
      </c>
      <c r="F6" s="92">
        <v>64.699252238031718</v>
      </c>
      <c r="G6" s="92">
        <v>74.15067448874747</v>
      </c>
      <c r="H6" s="92">
        <v>65.59334212524962</v>
      </c>
      <c r="I6" s="94">
        <v>5</v>
      </c>
    </row>
    <row r="8" spans="1:10" hidden="1" x14ac:dyDescent="0.25">
      <c r="A8" s="82"/>
      <c r="B8" s="82"/>
      <c r="C8" s="82"/>
      <c r="D8" s="82"/>
      <c r="E8" s="82"/>
      <c r="F8" s="82"/>
      <c r="G8" s="82"/>
      <c r="H8" s="82"/>
      <c r="I8" s="82"/>
      <c r="J8" s="82" t="s">
        <v>399</v>
      </c>
    </row>
    <row r="9" spans="1:10" ht="24" hidden="1" x14ac:dyDescent="0.25">
      <c r="A9" s="97" t="str">
        <f>B3</f>
        <v>Учешће</v>
      </c>
      <c r="B9" s="98" t="s">
        <v>219</v>
      </c>
      <c r="C9" s="98" t="s">
        <v>221</v>
      </c>
      <c r="D9" s="98" t="s">
        <v>293</v>
      </c>
      <c r="E9" s="57" t="s">
        <v>296</v>
      </c>
      <c r="F9" s="56" t="s">
        <v>296</v>
      </c>
      <c r="G9" s="98" t="s">
        <v>219</v>
      </c>
      <c r="H9" s="98" t="s">
        <v>221</v>
      </c>
      <c r="I9" s="98" t="s">
        <v>293</v>
      </c>
      <c r="J9" s="97" t="str">
        <f>F3</f>
        <v>Учешће</v>
      </c>
    </row>
    <row r="10" spans="1:10" hidden="1" x14ac:dyDescent="0.25">
      <c r="A10" s="99" t="s">
        <v>297</v>
      </c>
      <c r="B10" s="96">
        <v>8889.2000000000007</v>
      </c>
      <c r="C10" s="96">
        <v>1054.2860000000001</v>
      </c>
      <c r="D10" s="96">
        <v>6515.2150000000001</v>
      </c>
      <c r="E10" s="52"/>
      <c r="F10" s="53"/>
      <c r="G10" s="96">
        <v>8992.8349999999991</v>
      </c>
      <c r="H10" s="96">
        <v>1086.1559999999999</v>
      </c>
      <c r="I10" s="96">
        <v>6593.9359999999997</v>
      </c>
      <c r="J10" s="100" t="s">
        <v>297</v>
      </c>
    </row>
    <row r="11" spans="1:10" ht="24" hidden="1" x14ac:dyDescent="0.25">
      <c r="A11" s="99" t="s">
        <v>294</v>
      </c>
      <c r="B11" s="95">
        <f>SUMIFS(B21:B28,E21:E28,1)</f>
        <v>3212.0859999999998</v>
      </c>
      <c r="C11" s="95">
        <f>SUMIFS(C21:C28,E21:E28,1)</f>
        <v>271.68700000000001</v>
      </c>
      <c r="D11" s="95">
        <f>SUMIFS(D21:D28,E21:E28,1)</f>
        <v>2322.8890000000001</v>
      </c>
      <c r="E11" s="55">
        <v>1</v>
      </c>
      <c r="F11" s="107">
        <v>1</v>
      </c>
      <c r="G11" s="95">
        <f>SUMIFS(G21:G28,J21:J28,1)</f>
        <v>3174.5379999999996</v>
      </c>
      <c r="H11" s="95">
        <f>SUMIFS(H21:H28,J21:J28,1)</f>
        <v>280.76400000000001</v>
      </c>
      <c r="I11" s="95">
        <f>SUMIFS(I21:I28,J21:J28,1)</f>
        <v>2268.7530000000002</v>
      </c>
      <c r="J11" s="100" t="s">
        <v>294</v>
      </c>
    </row>
    <row r="12" spans="1:10" ht="24" hidden="1" x14ac:dyDescent="0.25">
      <c r="A12" s="101" t="s">
        <v>295</v>
      </c>
      <c r="B12" s="95">
        <f>SUMIFS(B21:B28,E21:E28,2)</f>
        <v>5677.1139999999996</v>
      </c>
      <c r="C12" s="95">
        <f>SUMIFS(C21:C28,E21:E28,2)</f>
        <v>782.59899999999993</v>
      </c>
      <c r="D12" s="95">
        <f>SUMIFS(D21:D28,E21:E28,2)</f>
        <v>4192.326</v>
      </c>
      <c r="E12" s="55">
        <v>2</v>
      </c>
      <c r="F12" s="107">
        <v>2</v>
      </c>
      <c r="G12" s="95">
        <f>SUMIFS(G21:G28,J21:J28,2)</f>
        <v>5818.2969999999996</v>
      </c>
      <c r="H12" s="95">
        <f>SUMIFS(H21:H28,J21:J28,2)</f>
        <v>805.39199999999994</v>
      </c>
      <c r="I12" s="95">
        <f>SUMIFS(I21:I28,J21:J28,2)</f>
        <v>4325.183</v>
      </c>
      <c r="J12" s="102" t="s">
        <v>295</v>
      </c>
    </row>
    <row r="13" spans="1:10" hidden="1" x14ac:dyDescent="0.25">
      <c r="A13" s="51"/>
      <c r="B13" s="51"/>
      <c r="C13" s="51"/>
      <c r="D13" s="51"/>
      <c r="E13" s="52"/>
      <c r="F13" s="53"/>
      <c r="G13" s="51"/>
      <c r="H13" s="51"/>
      <c r="I13" s="51"/>
      <c r="J13" s="51"/>
    </row>
    <row r="14" spans="1:10" hidden="1" x14ac:dyDescent="0.25">
      <c r="A14" s="51"/>
      <c r="B14" s="51"/>
      <c r="C14" s="51"/>
      <c r="D14" s="51"/>
      <c r="E14" s="52"/>
      <c r="F14" s="53"/>
      <c r="G14" s="51"/>
      <c r="H14" s="51"/>
      <c r="I14" s="51"/>
      <c r="J14" s="51"/>
    </row>
    <row r="15" spans="1:10" hidden="1" x14ac:dyDescent="0.25">
      <c r="A15" s="51"/>
      <c r="B15" s="82"/>
      <c r="C15" s="82"/>
      <c r="D15" s="82" t="s">
        <v>3</v>
      </c>
      <c r="E15" s="57" t="s">
        <v>296</v>
      </c>
      <c r="F15" s="56" t="s">
        <v>296</v>
      </c>
      <c r="G15" s="82"/>
      <c r="H15" s="82"/>
      <c r="I15" s="82" t="s">
        <v>3</v>
      </c>
      <c r="J15" s="103"/>
    </row>
    <row r="16" spans="1:10" ht="24" hidden="1" x14ac:dyDescent="0.25">
      <c r="A16" s="99" t="s">
        <v>294</v>
      </c>
      <c r="B16" s="95">
        <f>B11*100/B10</f>
        <v>36.134702785402503</v>
      </c>
      <c r="C16" s="95">
        <f>C11*100/C10</f>
        <v>25.769762664020959</v>
      </c>
      <c r="D16" s="95">
        <f>D11*100/D10</f>
        <v>35.653297703913076</v>
      </c>
      <c r="E16" s="55">
        <v>1</v>
      </c>
      <c r="F16" s="107">
        <v>1</v>
      </c>
      <c r="G16" s="95">
        <f>G11*100/G10</f>
        <v>35.300747761968275</v>
      </c>
      <c r="H16" s="95">
        <f>H11*100/H10</f>
        <v>25.84932551125253</v>
      </c>
      <c r="I16" s="95">
        <f>I11*100/I10</f>
        <v>34.40665787475038</v>
      </c>
      <c r="J16" s="100" t="s">
        <v>294</v>
      </c>
    </row>
    <row r="17" spans="1:10" ht="24" hidden="1" x14ac:dyDescent="0.25">
      <c r="A17" s="101" t="s">
        <v>295</v>
      </c>
      <c r="B17" s="95">
        <f>B12*100/B10</f>
        <v>63.865297214597476</v>
      </c>
      <c r="C17" s="95">
        <f>C12*100/C10</f>
        <v>74.230237335979027</v>
      </c>
      <c r="D17" s="95">
        <f>D12*100/D10</f>
        <v>64.346702296086917</v>
      </c>
      <c r="E17" s="55">
        <v>2</v>
      </c>
      <c r="F17" s="107">
        <v>2</v>
      </c>
      <c r="G17" s="95">
        <f>G12*100/G10</f>
        <v>64.699252238031718</v>
      </c>
      <c r="H17" s="95">
        <f>H12*100/H10</f>
        <v>74.15067448874747</v>
      </c>
      <c r="I17" s="95">
        <f>I12*100/I10</f>
        <v>65.59334212524962</v>
      </c>
      <c r="J17" s="102" t="s">
        <v>295</v>
      </c>
    </row>
    <row r="18" spans="1:10" hidden="1" x14ac:dyDescent="0.25">
      <c r="A18" s="51"/>
      <c r="B18" s="51"/>
      <c r="C18" s="51"/>
      <c r="D18" s="51"/>
      <c r="E18" s="52"/>
      <c r="F18" s="51"/>
      <c r="G18" s="51"/>
      <c r="H18" s="51"/>
      <c r="I18" s="51"/>
      <c r="J18" s="51"/>
    </row>
    <row r="19" spans="1:10" hidden="1" x14ac:dyDescent="0.25">
      <c r="A19" s="51"/>
      <c r="B19" s="51"/>
      <c r="C19" s="51"/>
      <c r="D19" s="51"/>
      <c r="E19" s="52"/>
      <c r="F19" s="53"/>
      <c r="G19" s="51"/>
      <c r="H19" s="51"/>
      <c r="I19" s="51"/>
      <c r="J19" s="51"/>
    </row>
    <row r="20" spans="1:10" hidden="1" x14ac:dyDescent="0.25">
      <c r="A20" s="104" t="s">
        <v>298</v>
      </c>
      <c r="B20" s="82"/>
      <c r="C20" s="82"/>
      <c r="D20" s="82" t="s">
        <v>399</v>
      </c>
      <c r="E20" s="57" t="s">
        <v>296</v>
      </c>
      <c r="F20" s="56" t="s">
        <v>298</v>
      </c>
      <c r="G20" s="82"/>
      <c r="H20" s="82"/>
      <c r="I20" s="82" t="s">
        <v>399</v>
      </c>
      <c r="J20" s="103" t="s">
        <v>296</v>
      </c>
    </row>
    <row r="21" spans="1:10" hidden="1" x14ac:dyDescent="0.25">
      <c r="A21" s="105">
        <v>1</v>
      </c>
      <c r="B21" s="95">
        <v>1710.624</v>
      </c>
      <c r="C21" s="95">
        <v>254.61099999999999</v>
      </c>
      <c r="D21" s="95">
        <v>1274.748</v>
      </c>
      <c r="E21" s="55">
        <v>2</v>
      </c>
      <c r="F21" s="54">
        <v>1</v>
      </c>
      <c r="G21" s="95">
        <v>1699.0440000000001</v>
      </c>
      <c r="H21" s="95">
        <v>259.964</v>
      </c>
      <c r="I21" s="95">
        <v>1263.4449999999999</v>
      </c>
      <c r="J21" s="106">
        <v>2</v>
      </c>
    </row>
    <row r="22" spans="1:10" hidden="1" x14ac:dyDescent="0.25">
      <c r="A22" s="105">
        <v>2</v>
      </c>
      <c r="B22" s="95">
        <v>890.28899999999999</v>
      </c>
      <c r="C22" s="95">
        <v>148.86699999999999</v>
      </c>
      <c r="D22" s="95">
        <v>602.49300000000005</v>
      </c>
      <c r="E22" s="55">
        <v>2</v>
      </c>
      <c r="F22" s="54">
        <v>2</v>
      </c>
      <c r="G22" s="95">
        <v>919.24900000000002</v>
      </c>
      <c r="H22" s="95">
        <v>150.93199999999999</v>
      </c>
      <c r="I22" s="95">
        <v>638.00300000000004</v>
      </c>
      <c r="J22" s="106">
        <v>2</v>
      </c>
    </row>
    <row r="23" spans="1:10" hidden="1" x14ac:dyDescent="0.25">
      <c r="A23" s="105">
        <v>17</v>
      </c>
      <c r="B23" s="95">
        <v>1602.4059999999999</v>
      </c>
      <c r="C23" s="95">
        <v>192.08799999999999</v>
      </c>
      <c r="D23" s="95">
        <v>1237.519</v>
      </c>
      <c r="E23" s="55">
        <v>2</v>
      </c>
      <c r="F23" s="54">
        <v>17</v>
      </c>
      <c r="G23" s="95">
        <v>1683.2149999999999</v>
      </c>
      <c r="H23" s="95">
        <v>199.59100000000001</v>
      </c>
      <c r="I23" s="95">
        <v>1306.691</v>
      </c>
      <c r="J23" s="106">
        <v>2</v>
      </c>
    </row>
    <row r="24" spans="1:10" hidden="1" x14ac:dyDescent="0.25">
      <c r="A24" s="105">
        <v>18</v>
      </c>
      <c r="B24" s="95">
        <v>1003.165</v>
      </c>
      <c r="C24" s="95">
        <v>124.29600000000001</v>
      </c>
      <c r="D24" s="95">
        <v>742.11699999999996</v>
      </c>
      <c r="E24" s="55">
        <v>2</v>
      </c>
      <c r="F24" s="54">
        <v>18</v>
      </c>
      <c r="G24" s="95">
        <v>1019.4450000000001</v>
      </c>
      <c r="H24" s="95">
        <v>131.86600000000001</v>
      </c>
      <c r="I24" s="95">
        <v>754.87300000000005</v>
      </c>
      <c r="J24" s="106">
        <v>2</v>
      </c>
    </row>
    <row r="25" spans="1:10" hidden="1" x14ac:dyDescent="0.25">
      <c r="A25" s="105">
        <v>22</v>
      </c>
      <c r="B25" s="95">
        <v>227.06399999999999</v>
      </c>
      <c r="C25" s="95">
        <v>18.568999999999999</v>
      </c>
      <c r="D25" s="95">
        <v>166.80500000000001</v>
      </c>
      <c r="E25" s="55">
        <v>1</v>
      </c>
      <c r="F25" s="54">
        <v>22</v>
      </c>
      <c r="G25" s="95">
        <v>229.24700000000001</v>
      </c>
      <c r="H25" s="95">
        <v>19.466999999999999</v>
      </c>
      <c r="I25" s="95">
        <v>167.83</v>
      </c>
      <c r="J25" s="106">
        <v>1</v>
      </c>
    </row>
    <row r="26" spans="1:10" hidden="1" x14ac:dyDescent="0.25">
      <c r="A26" s="105">
        <v>27</v>
      </c>
      <c r="B26" s="95">
        <v>2426.7959999999998</v>
      </c>
      <c r="C26" s="95">
        <v>184.03100000000001</v>
      </c>
      <c r="D26" s="95">
        <v>1771.271</v>
      </c>
      <c r="E26" s="55">
        <v>1</v>
      </c>
      <c r="F26" s="54">
        <v>27</v>
      </c>
      <c r="G26" s="95">
        <v>2372.5309999999999</v>
      </c>
      <c r="H26" s="95">
        <v>190.024</v>
      </c>
      <c r="I26" s="95">
        <v>1707.123</v>
      </c>
      <c r="J26" s="106">
        <v>1</v>
      </c>
    </row>
    <row r="27" spans="1:10" hidden="1" x14ac:dyDescent="0.25">
      <c r="A27" s="105">
        <v>34</v>
      </c>
      <c r="B27" s="95">
        <v>470.63</v>
      </c>
      <c r="C27" s="95">
        <v>62.737000000000002</v>
      </c>
      <c r="D27" s="95">
        <v>335.44900000000001</v>
      </c>
      <c r="E27" s="55">
        <v>2</v>
      </c>
      <c r="F27" s="54">
        <v>34</v>
      </c>
      <c r="G27" s="95">
        <v>497.34399999999999</v>
      </c>
      <c r="H27" s="95">
        <v>63.039000000000001</v>
      </c>
      <c r="I27" s="95">
        <v>362.17099999999999</v>
      </c>
      <c r="J27" s="106">
        <v>2</v>
      </c>
    </row>
    <row r="28" spans="1:10" hidden="1" x14ac:dyDescent="0.25">
      <c r="A28" s="105">
        <v>35</v>
      </c>
      <c r="B28" s="95">
        <v>558.226</v>
      </c>
      <c r="C28" s="95">
        <v>69.087000000000003</v>
      </c>
      <c r="D28" s="95">
        <v>384.81299999999999</v>
      </c>
      <c r="E28" s="55">
        <v>1</v>
      </c>
      <c r="F28" s="54">
        <v>35</v>
      </c>
      <c r="G28" s="95">
        <v>572.76</v>
      </c>
      <c r="H28" s="95">
        <v>71.272999999999996</v>
      </c>
      <c r="I28" s="95">
        <v>393.8</v>
      </c>
      <c r="J28" s="106">
        <v>1</v>
      </c>
    </row>
    <row r="29" spans="1:10" hidden="1" x14ac:dyDescent="0.25">
      <c r="A29" s="51"/>
      <c r="B29" s="51"/>
      <c r="C29" s="51"/>
      <c r="D29" s="51"/>
      <c r="E29" s="52"/>
      <c r="F29" s="53"/>
      <c r="G29" s="51"/>
      <c r="H29" s="51"/>
      <c r="I29" s="51"/>
      <c r="J29" s="51"/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/>
  </sheetViews>
  <sheetFormatPr defaultRowHeight="15" x14ac:dyDescent="0.25"/>
  <cols>
    <col min="1" max="1" width="20.42578125" customWidth="1"/>
    <col min="2" max="4" width="21" customWidth="1"/>
  </cols>
  <sheetData>
    <row r="1" spans="1:4" s="15" customFormat="1" hidden="1" x14ac:dyDescent="0.25">
      <c r="A1" s="29"/>
      <c r="B1" s="51"/>
      <c r="C1" s="51"/>
    </row>
    <row r="2" spans="1:4" s="15" customFormat="1" x14ac:dyDescent="0.25">
      <c r="A2" s="111" t="s">
        <v>331</v>
      </c>
      <c r="B2" s="112"/>
      <c r="C2" s="112"/>
      <c r="D2" s="113" t="s">
        <v>399</v>
      </c>
    </row>
    <row r="3" spans="1:4" x14ac:dyDescent="0.25">
      <c r="A3" s="139" t="s">
        <v>0</v>
      </c>
      <c r="B3" s="114" t="s">
        <v>1</v>
      </c>
      <c r="C3" s="114" t="s">
        <v>485</v>
      </c>
      <c r="D3" s="114" t="s">
        <v>331</v>
      </c>
    </row>
    <row r="4" spans="1:4" x14ac:dyDescent="0.25">
      <c r="A4" s="444" t="s">
        <v>529</v>
      </c>
      <c r="B4" s="115">
        <v>3000</v>
      </c>
      <c r="C4" s="116">
        <v>8744.1319999999996</v>
      </c>
      <c r="D4" s="116">
        <f>IFERROR(C4/B4,0)</f>
        <v>2.9147106666666667</v>
      </c>
    </row>
    <row r="5" spans="1:4" x14ac:dyDescent="0.25">
      <c r="A5" s="192" t="s">
        <v>530</v>
      </c>
      <c r="B5" s="72">
        <v>2969</v>
      </c>
      <c r="C5" s="117">
        <v>8889.2000000000007</v>
      </c>
      <c r="D5" s="117">
        <f>IFERROR(C5/B5,0)</f>
        <v>2.9940047153923883</v>
      </c>
    </row>
    <row r="6" spans="1:4" x14ac:dyDescent="0.25">
      <c r="A6" s="445" t="s">
        <v>531</v>
      </c>
      <c r="B6" s="118">
        <v>2971</v>
      </c>
      <c r="C6" s="119">
        <v>8992.8349999999991</v>
      </c>
      <c r="D6" s="119">
        <f>IFERROR(C6/B6,0)</f>
        <v>3.0268714237630423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50" customWidth="1"/>
    <col min="2" max="2" width="8.7109375" style="50" customWidth="1"/>
    <col min="3" max="3" width="6.7109375" style="50" customWidth="1"/>
    <col min="4" max="4" width="8.7109375" style="50"/>
    <col min="5" max="5" width="6.7109375" style="50" customWidth="1"/>
    <col min="6" max="6" width="8.7109375" style="50"/>
    <col min="7" max="7" width="6.7109375" style="50" customWidth="1"/>
    <col min="8" max="8" width="13.7109375" style="50" customWidth="1"/>
  </cols>
  <sheetData>
    <row r="1" spans="1:9" s="15" customFormat="1" hidden="1" x14ac:dyDescent="0.25">
      <c r="A1" s="50"/>
      <c r="B1" s="50"/>
      <c r="C1" s="50"/>
      <c r="D1" s="50"/>
      <c r="E1" s="50"/>
      <c r="F1" s="50"/>
      <c r="G1" s="50"/>
      <c r="H1" s="50"/>
    </row>
    <row r="2" spans="1:9" s="50" customFormat="1" x14ac:dyDescent="0.25">
      <c r="A2" s="24"/>
      <c r="B2" s="24"/>
      <c r="C2" s="24"/>
      <c r="D2" s="24"/>
      <c r="E2" s="24"/>
      <c r="F2" s="24"/>
      <c r="G2" s="24"/>
      <c r="H2" s="26"/>
    </row>
    <row r="3" spans="1:9" x14ac:dyDescent="0.25">
      <c r="A3" s="65" t="s">
        <v>332</v>
      </c>
      <c r="B3" s="65"/>
      <c r="C3" s="65"/>
      <c r="D3" s="65"/>
      <c r="E3" s="65"/>
      <c r="F3" s="65"/>
      <c r="G3" s="142"/>
      <c r="H3" s="443" t="s">
        <v>399</v>
      </c>
    </row>
    <row r="4" spans="1:9" x14ac:dyDescent="0.25">
      <c r="A4" s="768" t="s">
        <v>12</v>
      </c>
      <c r="B4" s="770" t="s">
        <v>529</v>
      </c>
      <c r="C4" s="772"/>
      <c r="D4" s="770" t="s">
        <v>530</v>
      </c>
      <c r="E4" s="772"/>
      <c r="F4" s="770" t="s">
        <v>531</v>
      </c>
      <c r="G4" s="772"/>
      <c r="H4" s="779" t="s">
        <v>11</v>
      </c>
    </row>
    <row r="5" spans="1:9" ht="14.1" customHeight="1" x14ac:dyDescent="0.25">
      <c r="A5" s="769"/>
      <c r="B5" s="110" t="s">
        <v>2</v>
      </c>
      <c r="C5" s="143" t="s">
        <v>3</v>
      </c>
      <c r="D5" s="110" t="s">
        <v>2</v>
      </c>
      <c r="E5" s="143" t="s">
        <v>3</v>
      </c>
      <c r="F5" s="110" t="s">
        <v>2</v>
      </c>
      <c r="G5" s="143" t="s">
        <v>3</v>
      </c>
      <c r="H5" s="778"/>
    </row>
    <row r="6" spans="1:9" s="1" customFormat="1" x14ac:dyDescent="0.25">
      <c r="A6" s="85" t="s">
        <v>415</v>
      </c>
      <c r="B6" s="86">
        <v>650.82500000000005</v>
      </c>
      <c r="C6" s="144">
        <f>IF($B$14&lt;&gt;0,B6*100/$B$14,0)</f>
        <v>10.159882432133719</v>
      </c>
      <c r="D6" s="86">
        <v>622.471</v>
      </c>
      <c r="E6" s="144">
        <f>IF($D$14&lt;&gt;0,D6*100/$D$14,0)</f>
        <v>9.5541129494575383</v>
      </c>
      <c r="F6" s="86">
        <v>630.98099999999999</v>
      </c>
      <c r="G6" s="144">
        <f>IF($F$14&lt;&gt;0,F6*100/$F$14,0)</f>
        <v>9.5691101642478777</v>
      </c>
      <c r="H6" s="72">
        <f>IF(D6&lt;&gt;0,F6/D6*100,"-")</f>
        <v>101.36713196277415</v>
      </c>
    </row>
    <row r="7" spans="1:9" s="49" customFormat="1" x14ac:dyDescent="0.25">
      <c r="A7" s="85" t="s">
        <v>416</v>
      </c>
      <c r="B7" s="86">
        <v>274.20999999999998</v>
      </c>
      <c r="C7" s="144">
        <f>IF($B$14&lt;&gt;0,B7*100/$B$14,0)</f>
        <v>4.2806305254336978</v>
      </c>
      <c r="D7" s="86">
        <v>324.12799999999999</v>
      </c>
      <c r="E7" s="144">
        <f t="shared" ref="E7:E13" si="0">IF($D$14&lt;&gt;0,D7*100/$D$14,0)</f>
        <v>4.9749394302413652</v>
      </c>
      <c r="F7" s="86">
        <v>368.68200000000002</v>
      </c>
      <c r="G7" s="144">
        <f t="shared" ref="G7:G13" si="1">IF($F$14&lt;&gt;0,F7*100/$F$14,0)</f>
        <v>5.5912280616615027</v>
      </c>
      <c r="H7" s="72">
        <f t="shared" ref="H7:H14" si="2">IF(D7&lt;&gt;0,F7/D7*100,"-")</f>
        <v>113.74580412676474</v>
      </c>
    </row>
    <row r="8" spans="1:9" s="49" customFormat="1" x14ac:dyDescent="0.25">
      <c r="A8" s="85" t="s">
        <v>417</v>
      </c>
      <c r="B8" s="86">
        <v>903.34299999999996</v>
      </c>
      <c r="C8" s="144">
        <f t="shared" ref="C8:C13" si="3">IF($B$14&lt;&gt;0,B8*100/$B$14,0)</f>
        <v>14.10188403317477</v>
      </c>
      <c r="D8" s="86">
        <v>943.65200000000004</v>
      </c>
      <c r="E8" s="144">
        <f t="shared" si="0"/>
        <v>14.483819797197791</v>
      </c>
      <c r="F8" s="86">
        <v>958.60400000000004</v>
      </c>
      <c r="G8" s="144">
        <f t="shared" si="1"/>
        <v>14.537660056148558</v>
      </c>
      <c r="H8" s="72">
        <f t="shared" si="2"/>
        <v>101.58448241512761</v>
      </c>
    </row>
    <row r="9" spans="1:9" s="49" customFormat="1" x14ac:dyDescent="0.25">
      <c r="A9" s="85" t="s">
        <v>418</v>
      </c>
      <c r="B9" s="86">
        <v>100.55200000000001</v>
      </c>
      <c r="C9" s="144">
        <f t="shared" si="3"/>
        <v>1.5696946157813692</v>
      </c>
      <c r="D9" s="86">
        <v>105.654</v>
      </c>
      <c r="E9" s="144">
        <f t="shared" si="0"/>
        <v>1.6216502448499397</v>
      </c>
      <c r="F9" s="86">
        <v>111.664</v>
      </c>
      <c r="G9" s="144">
        <f t="shared" si="1"/>
        <v>1.6934346951502106</v>
      </c>
      <c r="H9" s="72">
        <f t="shared" si="2"/>
        <v>105.68837904859258</v>
      </c>
    </row>
    <row r="10" spans="1:9" s="49" customFormat="1" x14ac:dyDescent="0.25">
      <c r="A10" s="85" t="s">
        <v>419</v>
      </c>
      <c r="B10" s="86">
        <v>465.99</v>
      </c>
      <c r="C10" s="144">
        <f t="shared" si="3"/>
        <v>7.2744648938654644</v>
      </c>
      <c r="D10" s="86">
        <v>361.27600000000001</v>
      </c>
      <c r="E10" s="144">
        <f t="shared" si="0"/>
        <v>5.5451124790202622</v>
      </c>
      <c r="F10" s="86">
        <v>260.3</v>
      </c>
      <c r="G10" s="144">
        <f t="shared" si="1"/>
        <v>3.9475663700709256</v>
      </c>
      <c r="H10" s="72">
        <f t="shared" si="2"/>
        <v>72.050177703473253</v>
      </c>
    </row>
    <row r="11" spans="1:9" s="49" customFormat="1" x14ac:dyDescent="0.25">
      <c r="A11" s="85" t="s">
        <v>420</v>
      </c>
      <c r="B11" s="86">
        <v>307.459</v>
      </c>
      <c r="C11" s="144">
        <f t="shared" si="3"/>
        <v>4.7996731728212669</v>
      </c>
      <c r="D11" s="86">
        <v>285.77199999999999</v>
      </c>
      <c r="E11" s="144">
        <f t="shared" si="0"/>
        <v>4.386225166782677</v>
      </c>
      <c r="F11" s="86">
        <v>299.67599999999999</v>
      </c>
      <c r="G11" s="144">
        <f t="shared" si="1"/>
        <v>4.5447210891946774</v>
      </c>
      <c r="H11" s="72">
        <f t="shared" si="2"/>
        <v>104.86541718572849</v>
      </c>
    </row>
    <row r="12" spans="1:9" s="49" customFormat="1" x14ac:dyDescent="0.25">
      <c r="A12" s="85" t="s">
        <v>421</v>
      </c>
      <c r="B12" s="86">
        <v>3690.0050000000001</v>
      </c>
      <c r="C12" s="144">
        <f t="shared" si="3"/>
        <v>57.603836628871939</v>
      </c>
      <c r="D12" s="86">
        <v>3855.54</v>
      </c>
      <c r="E12" s="144">
        <f t="shared" si="0"/>
        <v>59.177479177586619</v>
      </c>
      <c r="F12" s="86">
        <v>3947.3760000000002</v>
      </c>
      <c r="G12" s="144">
        <f t="shared" si="1"/>
        <v>59.863729341625394</v>
      </c>
      <c r="H12" s="72">
        <f t="shared" si="2"/>
        <v>102.3819231547332</v>
      </c>
    </row>
    <row r="13" spans="1:9" s="49" customFormat="1" x14ac:dyDescent="0.25">
      <c r="A13" s="85" t="s">
        <v>241</v>
      </c>
      <c r="B13" s="86">
        <v>13.448</v>
      </c>
      <c r="C13" s="144">
        <f t="shared" si="3"/>
        <v>0.20993369791777242</v>
      </c>
      <c r="D13" s="86">
        <v>16.722000000000001</v>
      </c>
      <c r="E13" s="144">
        <f t="shared" si="0"/>
        <v>0.25666075486380724</v>
      </c>
      <c r="F13" s="86">
        <v>16.652999999999999</v>
      </c>
      <c r="G13" s="144">
        <f t="shared" si="1"/>
        <v>0.25255022190084947</v>
      </c>
      <c r="H13" s="72">
        <f t="shared" si="2"/>
        <v>99.587369931826316</v>
      </c>
    </row>
    <row r="14" spans="1:9" s="141" customFormat="1" ht="15.75" thickBot="1" x14ac:dyDescent="0.3">
      <c r="A14" s="145" t="s">
        <v>64</v>
      </c>
      <c r="B14" s="146">
        <f>SUM(B6:B13)</f>
        <v>6405.8320000000003</v>
      </c>
      <c r="C14" s="147">
        <f t="shared" ref="C14:G14" si="4">SUM(C6:C13)</f>
        <v>100</v>
      </c>
      <c r="D14" s="146">
        <f>SUM(D6:D13)</f>
        <v>6515.2150000000001</v>
      </c>
      <c r="E14" s="147">
        <f t="shared" si="4"/>
        <v>99.999999999999986</v>
      </c>
      <c r="F14" s="146">
        <f>SUM(F6:F13)</f>
        <v>6593.9360000000006</v>
      </c>
      <c r="G14" s="147">
        <f t="shared" si="4"/>
        <v>99.999999999999986</v>
      </c>
      <c r="H14" s="148">
        <f t="shared" si="2"/>
        <v>101.20826404040389</v>
      </c>
      <c r="I14" s="49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50" customWidth="1"/>
    <col min="2" max="2" width="8.7109375" style="50"/>
    <col min="3" max="3" width="5.7109375" style="50" customWidth="1"/>
    <col min="4" max="4" width="8.7109375" style="50"/>
    <col min="5" max="5" width="5.7109375" style="50" customWidth="1"/>
    <col min="6" max="6" width="8.7109375" style="50"/>
    <col min="7" max="7" width="5.7109375" style="50" customWidth="1"/>
    <col min="8" max="8" width="11.85546875" style="50" customWidth="1"/>
  </cols>
  <sheetData>
    <row r="1" spans="1:9" s="15" customFormat="1" hidden="1" x14ac:dyDescent="0.25">
      <c r="A1" s="50"/>
      <c r="B1" s="50"/>
      <c r="C1" s="50"/>
      <c r="D1" s="50"/>
      <c r="E1" s="50"/>
      <c r="F1" s="50"/>
      <c r="G1" s="50"/>
      <c r="H1" s="50"/>
    </row>
    <row r="2" spans="1:9" s="50" customFormat="1" x14ac:dyDescent="0.25">
      <c r="A2" s="156"/>
    </row>
    <row r="3" spans="1:9" x14ac:dyDescent="0.25">
      <c r="A3" s="157" t="s">
        <v>333</v>
      </c>
      <c r="B3" s="150"/>
      <c r="C3" s="150"/>
      <c r="D3" s="150"/>
      <c r="E3" s="150"/>
      <c r="F3" s="150"/>
      <c r="G3" s="150"/>
      <c r="H3" s="443" t="s">
        <v>399</v>
      </c>
    </row>
    <row r="4" spans="1:9" x14ac:dyDescent="0.25">
      <c r="A4" s="768" t="s">
        <v>12</v>
      </c>
      <c r="B4" s="781" t="s">
        <v>529</v>
      </c>
      <c r="C4" s="782"/>
      <c r="D4" s="781" t="s">
        <v>530</v>
      </c>
      <c r="E4" s="782"/>
      <c r="F4" s="781" t="s">
        <v>531</v>
      </c>
      <c r="G4" s="782"/>
      <c r="H4" s="783" t="s">
        <v>11</v>
      </c>
    </row>
    <row r="5" spans="1:9" ht="14.1" customHeight="1" x14ac:dyDescent="0.25">
      <c r="A5" s="780"/>
      <c r="B5" s="121" t="s">
        <v>2</v>
      </c>
      <c r="C5" s="122" t="s">
        <v>3</v>
      </c>
      <c r="D5" s="121" t="s">
        <v>2</v>
      </c>
      <c r="E5" s="122" t="s">
        <v>3</v>
      </c>
      <c r="F5" s="121" t="s">
        <v>2</v>
      </c>
      <c r="G5" s="151" t="s">
        <v>3</v>
      </c>
      <c r="H5" s="784"/>
    </row>
    <row r="6" spans="1:9" s="1" customFormat="1" ht="15" customHeight="1" x14ac:dyDescent="0.25">
      <c r="A6" s="85" t="s">
        <v>31</v>
      </c>
      <c r="B6" s="129">
        <v>3947.6210000000001</v>
      </c>
      <c r="C6" s="127">
        <f>IF($B$8&lt;&gt;0,ROUND(B6*100/$B$8,1),0)</f>
        <v>61.6</v>
      </c>
      <c r="D6" s="129">
        <v>4154.6109999999999</v>
      </c>
      <c r="E6" s="127">
        <f>IF($D$8&lt;&gt;0,ROUND(D6*100/$D$8,1),0)</f>
        <v>63.8</v>
      </c>
      <c r="F6" s="129">
        <v>4293.2669999999998</v>
      </c>
      <c r="G6" s="7">
        <f>IF($F$8&lt;&gt;0,ROUND(F6*100/$F$8,1),0)</f>
        <v>65.099999999999994</v>
      </c>
      <c r="H6" s="8">
        <f>IF(D6&lt;&gt;0,F6/D6*100,"-")</f>
        <v>103.33740030053356</v>
      </c>
    </row>
    <row r="7" spans="1:9" ht="15" customHeight="1" x14ac:dyDescent="0.25">
      <c r="A7" s="85" t="s">
        <v>32</v>
      </c>
      <c r="B7" s="129">
        <v>2458.2109999999998</v>
      </c>
      <c r="C7" s="127">
        <f>IF($B$8&lt;&gt;0,ROUND(B7*100/$B$8,1),0)</f>
        <v>38.4</v>
      </c>
      <c r="D7" s="129">
        <v>2360.6039999999998</v>
      </c>
      <c r="E7" s="127">
        <f>IF($D$8&lt;&gt;0,ROUND(D7*100/$D$8,1),0)</f>
        <v>36.200000000000003</v>
      </c>
      <c r="F7" s="129">
        <v>2300.6689999999999</v>
      </c>
      <c r="G7" s="7">
        <f>IF($F$8&lt;&gt;0,ROUND(F7*100/$F$8,1),0)</f>
        <v>34.9</v>
      </c>
      <c r="H7" s="8">
        <f>IF(D7&lt;&gt;0,F7/D7*100,"-")</f>
        <v>97.461031159821815</v>
      </c>
    </row>
    <row r="8" spans="1:9" s="2" customFormat="1" ht="15" customHeight="1" thickBot="1" x14ac:dyDescent="0.3">
      <c r="A8" s="134" t="s">
        <v>64</v>
      </c>
      <c r="B8" s="152">
        <f t="shared" ref="B8:G8" si="0">SUM(B6:B7)</f>
        <v>6405.8320000000003</v>
      </c>
      <c r="C8" s="153">
        <f t="shared" si="0"/>
        <v>100</v>
      </c>
      <c r="D8" s="152">
        <f t="shared" si="0"/>
        <v>6515.2150000000001</v>
      </c>
      <c r="E8" s="153">
        <f t="shared" si="0"/>
        <v>100</v>
      </c>
      <c r="F8" s="152">
        <f t="shared" si="0"/>
        <v>6593.9359999999997</v>
      </c>
      <c r="G8" s="154">
        <f t="shared" si="0"/>
        <v>100</v>
      </c>
      <c r="H8" s="155">
        <f t="shared" ref="H8" si="1">IF(D8&lt;&gt;0,F8/D8*100,"")</f>
        <v>101.20826404040389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50" customWidth="1"/>
    <col min="2" max="2" width="9.5703125" style="50" customWidth="1"/>
    <col min="3" max="3" width="6.7109375" style="50" customWidth="1"/>
    <col min="4" max="4" width="9.5703125" style="50" customWidth="1"/>
    <col min="5" max="5" width="6.7109375" style="50" customWidth="1"/>
    <col min="6" max="6" width="9.5703125" style="50" customWidth="1"/>
    <col min="7" max="7" width="6.7109375" style="50" customWidth="1"/>
    <col min="8" max="8" width="9.5703125" style="50" customWidth="1"/>
  </cols>
  <sheetData>
    <row r="1" spans="1:9" s="15" customFormat="1" hidden="1" x14ac:dyDescent="0.25">
      <c r="A1" s="50"/>
      <c r="B1" s="50"/>
      <c r="C1" s="50"/>
      <c r="D1" s="50"/>
      <c r="E1" s="50"/>
      <c r="F1" s="50"/>
      <c r="G1" s="50"/>
      <c r="H1" s="50"/>
    </row>
    <row r="2" spans="1:9" s="50" customFormat="1" x14ac:dyDescent="0.25">
      <c r="B2" s="24"/>
      <c r="C2" s="24"/>
      <c r="D2" s="24"/>
      <c r="E2" s="24"/>
      <c r="F2" s="24"/>
      <c r="G2" s="24"/>
    </row>
    <row r="3" spans="1:9" x14ac:dyDescent="0.25">
      <c r="A3" s="81" t="s">
        <v>334</v>
      </c>
      <c r="B3" s="81"/>
      <c r="C3" s="81"/>
      <c r="D3" s="81"/>
      <c r="E3" s="81"/>
      <c r="F3" s="81"/>
      <c r="G3" s="160"/>
      <c r="H3" s="443" t="s">
        <v>399</v>
      </c>
    </row>
    <row r="4" spans="1:9" x14ac:dyDescent="0.25">
      <c r="A4" s="767" t="s">
        <v>12</v>
      </c>
      <c r="B4" s="770" t="s">
        <v>529</v>
      </c>
      <c r="C4" s="772"/>
      <c r="D4" s="770" t="s">
        <v>530</v>
      </c>
      <c r="E4" s="772"/>
      <c r="F4" s="770" t="s">
        <v>531</v>
      </c>
      <c r="G4" s="772"/>
      <c r="H4" s="785" t="s">
        <v>11</v>
      </c>
    </row>
    <row r="5" spans="1:9" ht="12" customHeight="1" x14ac:dyDescent="0.25">
      <c r="A5" s="769"/>
      <c r="B5" s="110" t="s">
        <v>2</v>
      </c>
      <c r="C5" s="143" t="s">
        <v>3</v>
      </c>
      <c r="D5" s="110" t="s">
        <v>2</v>
      </c>
      <c r="E5" s="143" t="s">
        <v>3</v>
      </c>
      <c r="F5" s="110" t="s">
        <v>2</v>
      </c>
      <c r="G5" s="143" t="s">
        <v>3</v>
      </c>
      <c r="H5" s="786"/>
      <c r="I5" s="49"/>
    </row>
    <row r="6" spans="1:9" s="1" customFormat="1" ht="15" customHeight="1" x14ac:dyDescent="0.25">
      <c r="A6" s="161" t="s">
        <v>33</v>
      </c>
      <c r="B6" s="86">
        <v>3520.596</v>
      </c>
      <c r="C6" s="162">
        <f>IF($B$13&lt;&gt;0,B6*100/$B$13,0)</f>
        <v>54.959230900841604</v>
      </c>
      <c r="D6" s="86">
        <v>3739.3870000000002</v>
      </c>
      <c r="E6" s="162">
        <f>IF($D$13&lt;&gt;0,D6*100/$D$13,0)</f>
        <v>57.394683061111564</v>
      </c>
      <c r="F6" s="86">
        <v>3939.2249999999999</v>
      </c>
      <c r="G6" s="162">
        <f t="shared" ref="G6:G11" si="0">IF($F$13&lt;&gt;0,F6*100/$F$13,0)</f>
        <v>59.740115766971357</v>
      </c>
      <c r="H6" s="72">
        <f t="shared" ref="H6:H13" si="1">IF(D6&lt;&gt;0,F6/D6*100,"-")</f>
        <v>105.34413795630138</v>
      </c>
      <c r="I6" s="140"/>
    </row>
    <row r="7" spans="1:9" ht="15" customHeight="1" x14ac:dyDescent="0.25">
      <c r="A7" s="161" t="s">
        <v>34</v>
      </c>
      <c r="B7" s="86">
        <v>147.69900000000001</v>
      </c>
      <c r="C7" s="162">
        <f t="shared" ref="C7:C11" si="2">IF($B$13&lt;&gt;0,B7*100/$B$13,0)</f>
        <v>2.3056958096934168</v>
      </c>
      <c r="D7" s="86">
        <v>136.40199999999999</v>
      </c>
      <c r="E7" s="162">
        <f t="shared" ref="E7:E11" si="3">IF($D$13&lt;&gt;0,D7*100/$D$13,0)</f>
        <v>2.0935916926762967</v>
      </c>
      <c r="F7" s="86">
        <v>16.881</v>
      </c>
      <c r="G7" s="162">
        <f t="shared" si="0"/>
        <v>0.25600794426879486</v>
      </c>
      <c r="H7" s="72">
        <f t="shared" si="1"/>
        <v>12.375918241668012</v>
      </c>
      <c r="I7" s="49"/>
    </row>
    <row r="8" spans="1:9" ht="15" customHeight="1" x14ac:dyDescent="0.25">
      <c r="A8" s="161" t="s">
        <v>35</v>
      </c>
      <c r="B8" s="86">
        <v>382.57299999999998</v>
      </c>
      <c r="C8" s="162">
        <f t="shared" si="2"/>
        <v>5.9722609022528212</v>
      </c>
      <c r="D8" s="86">
        <v>206.876</v>
      </c>
      <c r="E8" s="162">
        <f t="shared" si="3"/>
        <v>3.175275106040246</v>
      </c>
      <c r="F8" s="86">
        <v>230.05199999999999</v>
      </c>
      <c r="G8" s="162">
        <f t="shared" si="0"/>
        <v>3.4888418692568446</v>
      </c>
      <c r="H8" s="72">
        <f t="shared" si="1"/>
        <v>111.20284614938416</v>
      </c>
      <c r="I8" s="49"/>
    </row>
    <row r="9" spans="1:9" ht="15" customHeight="1" x14ac:dyDescent="0.25">
      <c r="A9" s="163" t="s">
        <v>36</v>
      </c>
      <c r="B9" s="164">
        <f t="shared" ref="B9:G9" si="4">SUM(B6:B8)</f>
        <v>4050.8679999999999</v>
      </c>
      <c r="C9" s="165">
        <f t="shared" si="4"/>
        <v>63.237187612787842</v>
      </c>
      <c r="D9" s="164">
        <f t="shared" si="4"/>
        <v>4082.6650000000004</v>
      </c>
      <c r="E9" s="165">
        <f t="shared" si="4"/>
        <v>62.663549859828109</v>
      </c>
      <c r="F9" s="164">
        <f t="shared" si="4"/>
        <v>4186.1579999999994</v>
      </c>
      <c r="G9" s="165">
        <f t="shared" si="4"/>
        <v>63.484965580496997</v>
      </c>
      <c r="H9" s="166">
        <f t="shared" si="1"/>
        <v>102.53493735097048</v>
      </c>
    </row>
    <row r="10" spans="1:9" ht="15" customHeight="1" x14ac:dyDescent="0.25">
      <c r="A10" s="161" t="s">
        <v>37</v>
      </c>
      <c r="B10" s="86">
        <v>2034.0029999999999</v>
      </c>
      <c r="C10" s="162">
        <f t="shared" si="2"/>
        <v>31.752362534640305</v>
      </c>
      <c r="D10" s="86">
        <v>2094.5729999999999</v>
      </c>
      <c r="E10" s="162">
        <f t="shared" si="3"/>
        <v>32.148946734681815</v>
      </c>
      <c r="F10" s="86">
        <v>2103.049</v>
      </c>
      <c r="G10" s="162">
        <f t="shared" si="0"/>
        <v>31.893682316601193</v>
      </c>
      <c r="H10" s="72">
        <f t="shared" si="1"/>
        <v>100.40466481712502</v>
      </c>
    </row>
    <row r="11" spans="1:9" ht="15" customHeight="1" x14ac:dyDescent="0.25">
      <c r="A11" s="161" t="s">
        <v>38</v>
      </c>
      <c r="B11" s="86">
        <v>320.96100000000001</v>
      </c>
      <c r="C11" s="162">
        <f t="shared" si="2"/>
        <v>5.0104498525718437</v>
      </c>
      <c r="D11" s="86">
        <v>337.97699999999998</v>
      </c>
      <c r="E11" s="162">
        <f t="shared" si="3"/>
        <v>5.1875034054900713</v>
      </c>
      <c r="F11" s="86">
        <v>304.72899999999998</v>
      </c>
      <c r="G11" s="162">
        <f t="shared" si="0"/>
        <v>4.6213521029018176</v>
      </c>
      <c r="H11" s="72">
        <f t="shared" si="1"/>
        <v>90.162644203599655</v>
      </c>
    </row>
    <row r="12" spans="1:9" ht="15" customHeight="1" x14ac:dyDescent="0.25">
      <c r="A12" s="123" t="s">
        <v>39</v>
      </c>
      <c r="B12" s="167">
        <f t="shared" ref="B12:G12" si="5">SUM(B10:B11)</f>
        <v>2354.9639999999999</v>
      </c>
      <c r="C12" s="168">
        <f t="shared" si="5"/>
        <v>36.762812387212151</v>
      </c>
      <c r="D12" s="167">
        <f t="shared" si="5"/>
        <v>2432.5499999999997</v>
      </c>
      <c r="E12" s="168">
        <f t="shared" si="5"/>
        <v>37.336450140171884</v>
      </c>
      <c r="F12" s="167">
        <f t="shared" si="5"/>
        <v>2407.7779999999998</v>
      </c>
      <c r="G12" s="168">
        <f t="shared" si="5"/>
        <v>36.51503441950301</v>
      </c>
      <c r="H12" s="169">
        <f t="shared" si="1"/>
        <v>98.981644776058047</v>
      </c>
    </row>
    <row r="13" spans="1:9" s="2" customFormat="1" ht="15" customHeight="1" thickBot="1" x14ac:dyDescent="0.3">
      <c r="A13" s="145" t="s">
        <v>40</v>
      </c>
      <c r="B13" s="146">
        <f>B9+B12</f>
        <v>6405.8320000000003</v>
      </c>
      <c r="C13" s="170">
        <f t="shared" ref="C13:G13" si="6">C9+C12</f>
        <v>100</v>
      </c>
      <c r="D13" s="146">
        <f>D9+D12</f>
        <v>6515.2150000000001</v>
      </c>
      <c r="E13" s="170">
        <f t="shared" si="6"/>
        <v>100</v>
      </c>
      <c r="F13" s="146">
        <f>F9+F12</f>
        <v>6593.9359999999997</v>
      </c>
      <c r="G13" s="170">
        <f t="shared" si="6"/>
        <v>100</v>
      </c>
      <c r="H13" s="171">
        <f t="shared" si="1"/>
        <v>101.20826404040389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B9 D9 F9" formulaRange="1"/>
    <ignoredError sqref="C9 E9 G9" formula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50" customWidth="1"/>
    <col min="2" max="4" width="13.7109375" style="50" customWidth="1"/>
    <col min="5" max="5" width="15.140625" style="50" customWidth="1"/>
  </cols>
  <sheetData>
    <row r="1" spans="1:6" s="50" customFormat="1" hidden="1" x14ac:dyDescent="0.25"/>
    <row r="2" spans="1:6" s="15" customFormat="1" x14ac:dyDescent="0.25">
      <c r="A2" s="50"/>
      <c r="B2" s="24"/>
      <c r="C2" s="24"/>
      <c r="D2" s="24"/>
      <c r="E2" s="172"/>
    </row>
    <row r="3" spans="1:6" x14ac:dyDescent="0.25">
      <c r="A3" s="485" t="s">
        <v>335</v>
      </c>
      <c r="B3" s="485"/>
      <c r="C3" s="485"/>
      <c r="D3" s="485"/>
      <c r="E3" s="443" t="s">
        <v>399</v>
      </c>
    </row>
    <row r="4" spans="1:6" x14ac:dyDescent="0.25">
      <c r="A4" s="173" t="s">
        <v>12</v>
      </c>
      <c r="B4" s="174" t="s">
        <v>529</v>
      </c>
      <c r="C4" s="175" t="s">
        <v>530</v>
      </c>
      <c r="D4" s="175" t="s">
        <v>531</v>
      </c>
      <c r="E4" s="176" t="s">
        <v>11</v>
      </c>
    </row>
    <row r="5" spans="1:6" s="1" customFormat="1" ht="14.1" customHeight="1" x14ac:dyDescent="0.25">
      <c r="A5" s="85" t="s">
        <v>204</v>
      </c>
      <c r="B5" s="177">
        <v>2502.1010000000001</v>
      </c>
      <c r="C5" s="72">
        <v>2572.7579999999998</v>
      </c>
      <c r="D5" s="72">
        <v>2608.4270000000001</v>
      </c>
      <c r="E5" s="178">
        <f t="shared" ref="E5:E12" si="0">IF(C5&lt;&gt;0,D5/C5*100,"-")</f>
        <v>101.38641100328908</v>
      </c>
    </row>
    <row r="6" spans="1:6" ht="14.1" customHeight="1" x14ac:dyDescent="0.25">
      <c r="A6" s="85" t="s">
        <v>205</v>
      </c>
      <c r="B6" s="177">
        <f>SUM(B7:B8)</f>
        <v>2494.857</v>
      </c>
      <c r="C6" s="72">
        <f t="shared" ref="C6:D6" si="1">SUM(C7:C8)</f>
        <v>2490.5100000000002</v>
      </c>
      <c r="D6" s="72">
        <f t="shared" si="1"/>
        <v>2520.6990000000001</v>
      </c>
      <c r="E6" s="178">
        <f t="shared" si="0"/>
        <v>101.21216136453978</v>
      </c>
    </row>
    <row r="7" spans="1:6" ht="14.1" customHeight="1" x14ac:dyDescent="0.25">
      <c r="A7" s="161" t="s">
        <v>206</v>
      </c>
      <c r="B7" s="177">
        <v>1852.248</v>
      </c>
      <c r="C7" s="72">
        <v>1838.3530000000001</v>
      </c>
      <c r="D7" s="72">
        <v>1798.5419999999999</v>
      </c>
      <c r="E7" s="178">
        <f t="shared" si="0"/>
        <v>97.834420266401494</v>
      </c>
    </row>
    <row r="8" spans="1:6" ht="14.1" customHeight="1" x14ac:dyDescent="0.25">
      <c r="A8" s="161" t="s">
        <v>207</v>
      </c>
      <c r="B8" s="177">
        <v>642.60900000000004</v>
      </c>
      <c r="C8" s="72">
        <v>652.15700000000004</v>
      </c>
      <c r="D8" s="72">
        <v>722.15700000000004</v>
      </c>
      <c r="E8" s="178">
        <f t="shared" si="0"/>
        <v>110.7336116916632</v>
      </c>
    </row>
    <row r="9" spans="1:6" ht="14.1" customHeight="1" x14ac:dyDescent="0.25">
      <c r="A9" s="179" t="s">
        <v>208</v>
      </c>
      <c r="B9" s="180">
        <f>IF(B6&lt;&gt;0,B5*100/B6,0)</f>
        <v>100.29035732308506</v>
      </c>
      <c r="C9" s="181">
        <f>IF(C6&lt;&gt;0,C5*100/C6,0)</f>
        <v>103.30245612344459</v>
      </c>
      <c r="D9" s="181">
        <f>IF(D6&lt;&gt;0,D5*100/D6,0)</f>
        <v>103.48030447110108</v>
      </c>
      <c r="E9" s="182">
        <f>IF(C9&lt;&gt;0,D9/C9*100,"-")</f>
        <v>100.17216274842873</v>
      </c>
    </row>
    <row r="10" spans="1:6" ht="14.1" customHeight="1" x14ac:dyDescent="0.25">
      <c r="A10" s="85" t="s">
        <v>209</v>
      </c>
      <c r="B10" s="177">
        <v>1002.576</v>
      </c>
      <c r="C10" s="72">
        <v>1162.588</v>
      </c>
      <c r="D10" s="72">
        <v>1219.7639999999999</v>
      </c>
      <c r="E10" s="178">
        <f t="shared" si="0"/>
        <v>104.91799330459285</v>
      </c>
    </row>
    <row r="11" spans="1:6" ht="14.1" customHeight="1" x14ac:dyDescent="0.25">
      <c r="A11" s="85" t="s">
        <v>210</v>
      </c>
      <c r="B11" s="177">
        <f>B6+B10</f>
        <v>3497.433</v>
      </c>
      <c r="C11" s="72">
        <f t="shared" ref="C11:D11" si="2">C6+C10</f>
        <v>3653.098</v>
      </c>
      <c r="D11" s="72">
        <f t="shared" si="2"/>
        <v>3740.4629999999997</v>
      </c>
      <c r="E11" s="178">
        <f t="shared" si="0"/>
        <v>102.39153179027774</v>
      </c>
    </row>
    <row r="12" spans="1:6" s="2" customFormat="1" ht="14.1" customHeight="1" thickBot="1" x14ac:dyDescent="0.3">
      <c r="A12" s="145" t="s">
        <v>211</v>
      </c>
      <c r="B12" s="183">
        <f>IF(B11&lt;&gt;0,B5*100/B11,0)</f>
        <v>71.541070264962912</v>
      </c>
      <c r="C12" s="184">
        <f>IF(C11&lt;&gt;0,C5*100/C11,0)</f>
        <v>70.42674464249248</v>
      </c>
      <c r="D12" s="184">
        <f>IF(D11&lt;&gt;0,D5*100/D11,0)</f>
        <v>69.735404413838609</v>
      </c>
      <c r="E12" s="185">
        <f t="shared" si="0"/>
        <v>99.018355552051531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</vt:i4>
      </vt:variant>
    </vt:vector>
  </HeadingPairs>
  <TitlesOfParts>
    <vt:vector size="76" baseType="lpstr">
      <vt:lpstr>Info</vt:lpstr>
      <vt:lpstr>Tabele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30'!Print_Area</vt:lpstr>
      <vt:lpstr>'Tab 31'!Print_Area</vt:lpstr>
      <vt:lpstr>'Tab 32'!Print_Area</vt:lpstr>
      <vt:lpstr>'Tab 33'!Print_Area</vt:lpstr>
      <vt:lpstr>'Tab 4'!Print_Area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2019-10-17T06:19:16Z</cp:lastPrinted>
  <dcterms:created xsi:type="dcterms:W3CDTF">2019-07-26T12:02:38Z</dcterms:created>
  <dcterms:modified xsi:type="dcterms:W3CDTF">2021-05-18T10:58:40Z</dcterms:modified>
</cp:coreProperties>
</file>