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2\server_agencija\AOP\WEB ABRS\17 Za objavu\Final\2021\062021\"/>
    </mc:Choice>
  </mc:AlternateContent>
  <xr:revisionPtr revIDLastSave="0" documentId="13_ncr:1_{159A59E8-2AF9-4936-9C5A-97B493D3D72A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Info" sheetId="179" r:id="rId1"/>
    <sheet name="Tabele" sheetId="1" r:id="rId2"/>
    <sheet name="Tab 1" sheetId="178" r:id="rId3"/>
    <sheet name="Tab 2" sheetId="5" r:id="rId4"/>
    <sheet name="Tab 3" sheetId="6" r:id="rId5"/>
    <sheet name="Tab 4" sheetId="11" r:id="rId6"/>
    <sheet name="Tab 5" sheetId="12" r:id="rId7"/>
    <sheet name="Tab 6" sheetId="13" r:id="rId8"/>
    <sheet name="Tab 7" sheetId="14" r:id="rId9"/>
    <sheet name="Tab 8" sheetId="15" r:id="rId10"/>
    <sheet name="Tab 9" sheetId="17" r:id="rId11"/>
    <sheet name="Tab 10" sheetId="18" r:id="rId12"/>
    <sheet name="Tab 11" sheetId="19" r:id="rId13"/>
    <sheet name="Tab 12" sheetId="22" r:id="rId14"/>
    <sheet name="Tab 13" sheetId="24" r:id="rId15"/>
    <sheet name="Tab 14" sheetId="25" r:id="rId16"/>
    <sheet name="Tab 15" sheetId="26" r:id="rId17"/>
    <sheet name="Tab 16" sheetId="29" r:id="rId18"/>
    <sheet name="Tab 17" sheetId="118" r:id="rId19"/>
    <sheet name="Tab 18" sheetId="34" r:id="rId20"/>
    <sheet name="Tab 19" sheetId="35" r:id="rId21"/>
    <sheet name="Tab 20" sheetId="138" r:id="rId22"/>
    <sheet name="Tab 21" sheetId="139" r:id="rId23"/>
    <sheet name="Tab 22" sheetId="140" r:id="rId24"/>
    <sheet name="Tab 23" sheetId="43" r:id="rId25"/>
    <sheet name="Tab 24" sheetId="44" r:id="rId26"/>
    <sheet name="Tab 25" sheetId="45" r:id="rId27"/>
    <sheet name="Tab 26" sheetId="30" r:id="rId28"/>
    <sheet name="Tab 27" sheetId="31" r:id="rId29"/>
    <sheet name="Tab 28" sheetId="32" r:id="rId30"/>
    <sheet name="Tab 29" sheetId="33" r:id="rId31"/>
    <sheet name="Tab 30" sheetId="50" r:id="rId32"/>
    <sheet name="Tab 31" sheetId="189" r:id="rId33"/>
    <sheet name="Tab 32" sheetId="185" r:id="rId34"/>
    <sheet name="Tab 33" sheetId="51" r:id="rId35"/>
    <sheet name="Pr 1" sheetId="55" r:id="rId36"/>
    <sheet name="Pr 2" sheetId="7" r:id="rId37"/>
    <sheet name="Pr 3" sheetId="134" r:id="rId38"/>
  </sheets>
  <definedNames>
    <definedName name="_ftn2" localSheetId="33">'Tab 32'!$A$11</definedName>
    <definedName name="_ftn3" localSheetId="33">'Tab 32'!$A$12</definedName>
    <definedName name="_xlnm.Print_Area" localSheetId="35">'Pr 1'!$A$1:$J$13</definedName>
    <definedName name="_xlnm.Print_Area" localSheetId="36">'Pr 2'!$A$1:$H$35</definedName>
    <definedName name="_xlnm.Print_Area" localSheetId="37">'Pr 3'!$A$1:$K$31</definedName>
    <definedName name="_xlnm.Print_Area" localSheetId="2">'Tab 1'!$B$1:$F$23</definedName>
    <definedName name="_xlnm.Print_Area" localSheetId="11">'Tab 10'!$A$1:$H$22</definedName>
    <definedName name="_xlnm.Print_Area" localSheetId="12">'Tab 11'!$A$1:$H$14</definedName>
    <definedName name="_xlnm.Print_Area" localSheetId="13">'Tab 12'!$A$1:$J$14</definedName>
    <definedName name="_xlnm.Print_Area" localSheetId="14">'Tab 13'!$A$1:$N$20</definedName>
    <definedName name="_xlnm.Print_Area" localSheetId="15">'Tab 14'!$A$1:$N$16</definedName>
    <definedName name="_xlnm.Print_Area" localSheetId="16">'Tab 15'!$A$1:$N$15</definedName>
    <definedName name="_xlnm.Print_Area" localSheetId="17">'Tab 16'!$A$1:$G$10</definedName>
    <definedName name="_xlnm.Print_Area" localSheetId="18">'Tab 17'!$A$2:$F$15</definedName>
    <definedName name="_xlnm.Print_Area" localSheetId="19">'Tab 18'!$A$1:$F$21</definedName>
    <definedName name="_xlnm.Print_Area" localSheetId="20">'Tab 19'!$A$1:$F$18</definedName>
    <definedName name="_xlnm.Print_Area" localSheetId="3">'Tab 2'!$A$1:$I$6</definedName>
    <definedName name="_xlnm.Print_Area" localSheetId="21">'Tab 20'!$A$1:$J$22</definedName>
    <definedName name="_xlnm.Print_Area" localSheetId="22">'Tab 21'!$A$1:$J$19</definedName>
    <definedName name="_xlnm.Print_Area" localSheetId="23">'Tab 22'!$A$1:$J$18</definedName>
    <definedName name="_xlnm.Print_Area" localSheetId="24">'Tab 23'!$A$1:$I$21</definedName>
    <definedName name="_xlnm.Print_Area" localSheetId="25">'Tab 24'!$A$1:$I$10</definedName>
    <definedName name="_xlnm.Print_Area" localSheetId="26">'Tab 25'!$A$1:$I$13</definedName>
    <definedName name="_xlnm.Print_Area" localSheetId="27">'Tab 26'!$A$1:$F$26</definedName>
    <definedName name="_xlnm.Print_Area" localSheetId="28">'Tab 27'!$A$1:$E$8</definedName>
    <definedName name="_xlnm.Print_Area" localSheetId="29">'Tab 28'!$A$1:$F$13</definedName>
    <definedName name="_xlnm.Print_Area" localSheetId="30">'Tab 29'!$A$1:$E$14</definedName>
    <definedName name="_xlnm.Print_Area" localSheetId="31">'Tab 30'!$A$1:$G$6</definedName>
    <definedName name="_xlnm.Print_Area" localSheetId="32">'Tab 31'!$A$1:$I$16</definedName>
    <definedName name="_xlnm.Print_Area" localSheetId="33">'Tab 32'!$A$1:$D$9</definedName>
    <definedName name="_xlnm.Print_Area" localSheetId="34">'Tab 33'!$A$1:$I$12</definedName>
    <definedName name="_xlnm.Print_Area" localSheetId="5">'Tab 4'!$A$1:$H$14</definedName>
    <definedName name="_xlnm.Print_Area" localSheetId="6">'Tab 5'!$A$1:$H$8</definedName>
    <definedName name="_xlnm.Print_Area" localSheetId="7">'Tab 6'!$A$1:$H$13</definedName>
    <definedName name="_xlnm.Print_Area" localSheetId="8">'Tab 7'!$A$1:$E$12</definedName>
    <definedName name="_xlnm.Print_Area" localSheetId="9">'Tab 8'!$A$1:$N$20</definedName>
    <definedName name="_xlnm.Print_Area" localSheetId="10">'Tab 9'!$A$1:$H$17</definedName>
    <definedName name="_xlnm.Print_Area" localSheetId="1">Tabele!$A$1:$B$37</definedName>
  </definedNames>
  <calcPr calcId="191029"/>
  <customWorkbookViews>
    <customWorkbookView name="Olivera Talijan - Personal View" guid="{5507C501-9942-4310-9E0E-987180BD1180}" mergeInterval="0" personalView="1" maximized="1" windowWidth="1916" windowHeight="834" tabRatio="911" activeSheetId="1"/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50" l="1"/>
  <c r="F7" i="118" l="1"/>
  <c r="F15" i="35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D19" i="24"/>
  <c r="B19" i="24"/>
  <c r="L18" i="24"/>
  <c r="F18" i="24"/>
  <c r="L17" i="24"/>
  <c r="F17" i="24"/>
  <c r="L16" i="24"/>
  <c r="F16" i="24"/>
  <c r="L15" i="24"/>
  <c r="F15" i="24"/>
  <c r="L14" i="24"/>
  <c r="F14" i="24"/>
  <c r="N13" i="24"/>
  <c r="J12" i="24"/>
  <c r="H12" i="24"/>
  <c r="D12" i="24"/>
  <c r="B12" i="24"/>
  <c r="L11" i="24"/>
  <c r="F11" i="24"/>
  <c r="L10" i="24"/>
  <c r="F10" i="24"/>
  <c r="L9" i="24"/>
  <c r="F9" i="24"/>
  <c r="N9" i="24" s="1"/>
  <c r="L8" i="24"/>
  <c r="F8" i="24"/>
  <c r="L7" i="24"/>
  <c r="F7" i="24"/>
  <c r="N13" i="15"/>
  <c r="F7" i="15"/>
  <c r="N16" i="24" l="1"/>
  <c r="N18" i="24"/>
  <c r="J20" i="24"/>
  <c r="K18" i="24" s="1"/>
  <c r="N8" i="24"/>
  <c r="N17" i="24"/>
  <c r="L19" i="24"/>
  <c r="N15" i="24"/>
  <c r="N10" i="24"/>
  <c r="L12" i="24"/>
  <c r="N11" i="24"/>
  <c r="H20" i="24"/>
  <c r="I11" i="24" s="1"/>
  <c r="N7" i="24"/>
  <c r="D20" i="24"/>
  <c r="F19" i="24"/>
  <c r="B20" i="24"/>
  <c r="C10" i="24" s="1"/>
  <c r="L20" i="24"/>
  <c r="E18" i="24"/>
  <c r="E14" i="24"/>
  <c r="E10" i="24"/>
  <c r="E16" i="24"/>
  <c r="E8" i="24"/>
  <c r="E7" i="24"/>
  <c r="E17" i="24"/>
  <c r="E9" i="24"/>
  <c r="E15" i="24"/>
  <c r="E11" i="24"/>
  <c r="N19" i="24"/>
  <c r="K11" i="24"/>
  <c r="I15" i="24"/>
  <c r="I17" i="24"/>
  <c r="I9" i="24"/>
  <c r="I14" i="24"/>
  <c r="I10" i="24"/>
  <c r="F12" i="24"/>
  <c r="N12" i="24" s="1"/>
  <c r="N14" i="24"/>
  <c r="D6" i="6"/>
  <c r="D5" i="6"/>
  <c r="D4" i="6"/>
  <c r="H5" i="140"/>
  <c r="K7" i="24" l="1"/>
  <c r="K14" i="24"/>
  <c r="K9" i="24"/>
  <c r="K16" i="24"/>
  <c r="K17" i="24"/>
  <c r="K10" i="24"/>
  <c r="K8" i="24"/>
  <c r="K15" i="24"/>
  <c r="I18" i="24"/>
  <c r="I7" i="24"/>
  <c r="I8" i="24"/>
  <c r="I16" i="24"/>
  <c r="C16" i="24"/>
  <c r="C9" i="24"/>
  <c r="C14" i="24"/>
  <c r="C15" i="24"/>
  <c r="C11" i="24"/>
  <c r="C18" i="24"/>
  <c r="C7" i="24"/>
  <c r="C17" i="24"/>
  <c r="C8" i="24"/>
  <c r="I19" i="24"/>
  <c r="K12" i="24"/>
  <c r="K19" i="24"/>
  <c r="E12" i="24"/>
  <c r="E19" i="24"/>
  <c r="I12" i="24"/>
  <c r="C19" i="24"/>
  <c r="F20" i="24"/>
  <c r="M16" i="24"/>
  <c r="M8" i="24"/>
  <c r="M14" i="24"/>
  <c r="M17" i="24"/>
  <c r="M9" i="24"/>
  <c r="M15" i="24"/>
  <c r="M11" i="24"/>
  <c r="M7" i="24"/>
  <c r="M18" i="24"/>
  <c r="M10" i="24"/>
  <c r="E20" i="24" l="1"/>
  <c r="C12" i="24"/>
  <c r="I20" i="24"/>
  <c r="M12" i="24"/>
  <c r="G16" i="24"/>
  <c r="G8" i="24"/>
  <c r="G18" i="24"/>
  <c r="G14" i="24"/>
  <c r="G10" i="24"/>
  <c r="G17" i="24"/>
  <c r="G15" i="24"/>
  <c r="G11" i="24"/>
  <c r="G7" i="24"/>
  <c r="N20" i="24"/>
  <c r="G9" i="24"/>
  <c r="M19" i="24"/>
  <c r="C20" i="24"/>
  <c r="K20" i="24"/>
  <c r="M20" i="24" l="1"/>
  <c r="G19" i="24"/>
  <c r="G12" i="24"/>
  <c r="G20" i="24" s="1"/>
  <c r="C3" i="185" l="1"/>
  <c r="D3" i="185"/>
  <c r="B3" i="185"/>
  <c r="F6" i="50" l="1"/>
  <c r="G6" i="50"/>
  <c r="D6" i="50"/>
  <c r="E6" i="50"/>
  <c r="C6" i="50"/>
  <c r="B6" i="50"/>
  <c r="F15" i="189" l="1"/>
  <c r="D15" i="189"/>
  <c r="B15" i="189"/>
  <c r="H15" i="189" s="1"/>
  <c r="F12" i="189"/>
  <c r="D12" i="189"/>
  <c r="I15" i="189" l="1"/>
  <c r="I12" i="189"/>
  <c r="H12" i="189"/>
  <c r="F16" i="189"/>
  <c r="B16" i="189"/>
  <c r="D16" i="189"/>
  <c r="G8" i="189" l="1"/>
  <c r="G15" i="189"/>
  <c r="G11" i="189"/>
  <c r="G7" i="189"/>
  <c r="G14" i="189"/>
  <c r="G10" i="189"/>
  <c r="G6" i="189"/>
  <c r="G13" i="189"/>
  <c r="G9" i="189"/>
  <c r="G12" i="189"/>
  <c r="G16" i="189" s="1"/>
  <c r="E8" i="189"/>
  <c r="E11" i="189"/>
  <c r="E7" i="189"/>
  <c r="E15" i="189"/>
  <c r="E10" i="189"/>
  <c r="E6" i="189"/>
  <c r="I16" i="189"/>
  <c r="E13" i="189"/>
  <c r="E9" i="189"/>
  <c r="E14" i="189"/>
  <c r="H16" i="189"/>
  <c r="E12" i="189"/>
  <c r="C13" i="189"/>
  <c r="C10" i="189"/>
  <c r="C14" i="189"/>
  <c r="C9" i="189"/>
  <c r="C8" i="189"/>
  <c r="C12" i="189"/>
  <c r="C11" i="189"/>
  <c r="C7" i="189"/>
  <c r="C15" i="189"/>
  <c r="C6" i="189"/>
  <c r="E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4" i="185"/>
  <c r="B14" i="11" l="1"/>
  <c r="B31" i="7"/>
  <c r="B15" i="7"/>
  <c r="F14" i="7"/>
  <c r="D14" i="7"/>
  <c r="B14" i="7"/>
  <c r="B11" i="5" l="1"/>
  <c r="B16" i="5" s="1"/>
  <c r="F10" i="30" l="1"/>
  <c r="F9" i="30"/>
  <c r="F6" i="30"/>
  <c r="F22" i="178" l="1"/>
  <c r="E22" i="178"/>
  <c r="D22" i="178"/>
  <c r="C22" i="178"/>
  <c r="F13" i="178"/>
  <c r="F23" i="178" s="1"/>
  <c r="E13" i="178"/>
  <c r="D13" i="178"/>
  <c r="C13" i="178"/>
  <c r="E23" i="178" l="1"/>
  <c r="C23" i="178"/>
  <c r="D23" i="178"/>
  <c r="J9" i="5" l="1"/>
  <c r="A9" i="5"/>
  <c r="G12" i="5" l="1"/>
  <c r="G17" i="5" s="1"/>
  <c r="G11" i="5"/>
  <c r="G16" i="5" s="1"/>
  <c r="I12" i="5"/>
  <c r="I17" i="5" s="1"/>
  <c r="H12" i="5"/>
  <c r="H17" i="5" s="1"/>
  <c r="I11" i="5"/>
  <c r="I16" i="5" s="1"/>
  <c r="H11" i="5"/>
  <c r="H16" i="5" s="1"/>
  <c r="D12" i="5"/>
  <c r="D17" i="5" s="1"/>
  <c r="D11" i="5"/>
  <c r="D16" i="5" s="1"/>
  <c r="C12" i="5"/>
  <c r="C17" i="5" s="1"/>
  <c r="C11" i="5"/>
  <c r="C16" i="5" s="1"/>
  <c r="B12" i="5"/>
  <c r="B17" i="5" s="1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J30" i="134" s="1"/>
  <c r="E29" i="134"/>
  <c r="J29" i="134" s="1"/>
  <c r="E28" i="134"/>
  <c r="J28" i="134" s="1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14" i="140" l="1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F15" i="139"/>
  <c r="E15" i="139"/>
  <c r="C15" i="139"/>
  <c r="B15" i="139"/>
  <c r="D15" i="139" s="1"/>
  <c r="I11" i="139"/>
  <c r="H11" i="139"/>
  <c r="F11" i="139"/>
  <c r="E11" i="139"/>
  <c r="C11" i="139"/>
  <c r="B11" i="139"/>
  <c r="I10" i="139"/>
  <c r="H10" i="139"/>
  <c r="J10" i="139" s="1"/>
  <c r="F10" i="139"/>
  <c r="E10" i="139"/>
  <c r="C10" i="139"/>
  <c r="B10" i="139"/>
  <c r="D10" i="139" s="1"/>
  <c r="I9" i="139"/>
  <c r="H9" i="139"/>
  <c r="F9" i="139"/>
  <c r="E9" i="139"/>
  <c r="G9" i="139" s="1"/>
  <c r="C9" i="139"/>
  <c r="B9" i="139"/>
  <c r="D9" i="139" s="1"/>
  <c r="I8" i="139"/>
  <c r="H8" i="139"/>
  <c r="F8" i="139"/>
  <c r="E8" i="139"/>
  <c r="C8" i="139"/>
  <c r="B8" i="139"/>
  <c r="D8" i="139" s="1"/>
  <c r="I17" i="138"/>
  <c r="H17" i="138"/>
  <c r="F17" i="138"/>
  <c r="E17" i="138"/>
  <c r="G17" i="138" s="1"/>
  <c r="C17" i="138"/>
  <c r="B17" i="138"/>
  <c r="I9" i="138"/>
  <c r="H9" i="138"/>
  <c r="F9" i="138"/>
  <c r="E9" i="138"/>
  <c r="C9" i="138"/>
  <c r="B9" i="138"/>
  <c r="I8" i="138"/>
  <c r="F8" i="138"/>
  <c r="C8" i="138"/>
  <c r="J9" i="139" l="1"/>
  <c r="J15" i="139"/>
  <c r="J11" i="139"/>
  <c r="J8" i="139"/>
  <c r="G15" i="139"/>
  <c r="G10" i="139"/>
  <c r="G11" i="139"/>
  <c r="G8" i="139"/>
  <c r="D11" i="139"/>
  <c r="J17" i="138"/>
  <c r="H8" i="138"/>
  <c r="H7" i="138" s="1"/>
  <c r="J9" i="138"/>
  <c r="E8" i="138"/>
  <c r="G8" i="138" s="1"/>
  <c r="G9" i="138"/>
  <c r="D17" i="138"/>
  <c r="B8" i="138"/>
  <c r="D8" i="138" s="1"/>
  <c r="D9" i="138"/>
  <c r="E7" i="139"/>
  <c r="I7" i="138"/>
  <c r="C7" i="139"/>
  <c r="F7" i="138"/>
  <c r="F7" i="139"/>
  <c r="C7" i="138"/>
  <c r="I7" i="139"/>
  <c r="B7" i="139"/>
  <c r="D7" i="139" s="1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I9" i="140"/>
  <c r="F10" i="140"/>
  <c r="B13" i="140"/>
  <c r="D13" i="140" s="1"/>
  <c r="I13" i="140"/>
  <c r="E9" i="140"/>
  <c r="G9" i="140" s="1"/>
  <c r="C16" i="140"/>
  <c r="E16" i="140"/>
  <c r="C9" i="140"/>
  <c r="I8" i="140"/>
  <c r="C10" i="140"/>
  <c r="H8" i="140"/>
  <c r="H7" i="139"/>
  <c r="J7" i="139" s="1"/>
  <c r="G16" i="140" l="1"/>
  <c r="G13" i="140"/>
  <c r="G8" i="140"/>
  <c r="G10" i="140"/>
  <c r="D9" i="140"/>
  <c r="D16" i="140"/>
  <c r="D8" i="140"/>
  <c r="D10" i="140"/>
  <c r="G7" i="139"/>
  <c r="J7" i="138"/>
  <c r="J8" i="138"/>
  <c r="G7" i="138"/>
  <c r="D7" i="138"/>
  <c r="J16" i="140"/>
  <c r="J10" i="140"/>
  <c r="J13" i="140"/>
  <c r="J8" i="140"/>
  <c r="J9" i="140"/>
  <c r="H7" i="140"/>
  <c r="I7" i="140"/>
  <c r="E7" i="140"/>
  <c r="F7" i="140"/>
  <c r="B7" i="140"/>
  <c r="C7" i="140"/>
  <c r="G7" i="140" l="1"/>
  <c r="D7" i="140"/>
  <c r="J7" i="140"/>
  <c r="F13" i="26" l="1"/>
  <c r="F7" i="26"/>
  <c r="E5" i="14"/>
  <c r="B5" i="31" l="1"/>
  <c r="F22" i="30"/>
  <c r="F26" i="30"/>
  <c r="F25" i="30"/>
  <c r="F24" i="30"/>
  <c r="F23" i="30"/>
  <c r="F21" i="30"/>
  <c r="F20" i="30"/>
  <c r="F19" i="30"/>
  <c r="F18" i="30"/>
  <c r="F17" i="30"/>
  <c r="F16" i="30"/>
  <c r="F15" i="30"/>
  <c r="F14" i="30"/>
  <c r="F13" i="30"/>
  <c r="F12" i="30"/>
  <c r="F11" i="30"/>
  <c r="F8" i="30"/>
  <c r="F7" i="30"/>
  <c r="C4" i="32" l="1"/>
  <c r="C9" i="32" s="1"/>
  <c r="F5" i="30"/>
  <c r="C12" i="32" l="1"/>
  <c r="C13" i="32"/>
  <c r="C7" i="32"/>
  <c r="C10" i="32"/>
  <c r="C6" i="32"/>
  <c r="F4" i="30"/>
  <c r="E14" i="118"/>
  <c r="D14" i="118"/>
  <c r="C14" i="118"/>
  <c r="F13" i="118"/>
  <c r="F12" i="118"/>
  <c r="E11" i="118"/>
  <c r="D11" i="118"/>
  <c r="C11" i="118"/>
  <c r="F10" i="118"/>
  <c r="F9" i="118"/>
  <c r="E8" i="118"/>
  <c r="D8" i="118"/>
  <c r="C8" i="118"/>
  <c r="F6" i="118"/>
  <c r="F11" i="118" l="1"/>
  <c r="C15" i="118"/>
  <c r="F14" i="118"/>
  <c r="D15" i="118"/>
  <c r="F8" i="118"/>
  <c r="E15" i="118"/>
  <c r="F15" i="118" l="1"/>
  <c r="B12" i="51" l="1"/>
  <c r="I11" i="51"/>
  <c r="H11" i="51"/>
  <c r="I10" i="51"/>
  <c r="H10" i="51"/>
  <c r="I9" i="51"/>
  <c r="H9" i="51"/>
  <c r="I8" i="51"/>
  <c r="H8" i="51"/>
  <c r="I7" i="51"/>
  <c r="H7" i="51"/>
  <c r="I6" i="51"/>
  <c r="H6" i="51"/>
  <c r="G12" i="51"/>
  <c r="F12" i="51"/>
  <c r="H12" i="51" l="1"/>
  <c r="I12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12" i="51"/>
  <c r="D12" i="51"/>
  <c r="C12" i="51"/>
  <c r="C18" i="15" l="1"/>
  <c r="C9" i="15"/>
  <c r="C7" i="15"/>
  <c r="C15" i="15"/>
  <c r="C14" i="15"/>
  <c r="C10" i="15"/>
  <c r="C16" i="15"/>
  <c r="C11" i="15"/>
  <c r="C17" i="15"/>
  <c r="C8" i="15"/>
  <c r="H6" i="11"/>
  <c r="F13" i="55" l="1"/>
  <c r="R6" i="35" l="1"/>
  <c r="F13" i="35" l="1"/>
  <c r="F16" i="35" s="1"/>
  <c r="D13" i="35"/>
  <c r="D16" i="35" s="1"/>
  <c r="E13" i="35"/>
  <c r="E16" i="35" s="1"/>
  <c r="C13" i="35"/>
  <c r="C16" i="35" s="1"/>
  <c r="B13" i="35"/>
  <c r="B16" i="35" s="1"/>
  <c r="J15" i="25" l="1"/>
  <c r="H11" i="13" l="1"/>
  <c r="H10" i="13"/>
  <c r="H8" i="13"/>
  <c r="H7" i="13"/>
  <c r="H6" i="13"/>
  <c r="H7" i="12"/>
  <c r="H6" i="12"/>
  <c r="F14" i="11" l="1"/>
  <c r="D14" i="11"/>
  <c r="F34" i="7" l="1"/>
  <c r="F33" i="7"/>
  <c r="D34" i="7"/>
  <c r="H34" i="7" s="1"/>
  <c r="D33" i="7"/>
  <c r="H33" i="7" s="1"/>
  <c r="B34" i="7"/>
  <c r="B33" i="7"/>
  <c r="B32" i="7" s="1"/>
  <c r="F31" i="7"/>
  <c r="G28" i="7" s="1"/>
  <c r="D31" i="7"/>
  <c r="H31" i="7" s="1"/>
  <c r="C29" i="7"/>
  <c r="F19" i="7"/>
  <c r="D19" i="7"/>
  <c r="B19" i="7"/>
  <c r="F15" i="7"/>
  <c r="D15" i="7"/>
  <c r="H15" i="7" s="1"/>
  <c r="H29" i="7"/>
  <c r="H28" i="7"/>
  <c r="H27" i="7"/>
  <c r="H26" i="7"/>
  <c r="H25" i="7"/>
  <c r="H24" i="7"/>
  <c r="H23" i="7"/>
  <c r="H21" i="7"/>
  <c r="H20" i="7"/>
  <c r="H17" i="7"/>
  <c r="H16" i="7"/>
  <c r="H13" i="7"/>
  <c r="H12" i="7"/>
  <c r="H11" i="7"/>
  <c r="H10" i="7"/>
  <c r="H9" i="7"/>
  <c r="H8" i="7"/>
  <c r="H7" i="7"/>
  <c r="H6" i="7"/>
  <c r="H30" i="7"/>
  <c r="G13" i="7"/>
  <c r="E12" i="7"/>
  <c r="C13" i="7"/>
  <c r="H19" i="7" l="1"/>
  <c r="F32" i="7"/>
  <c r="F35" i="7" s="1"/>
  <c r="D32" i="7"/>
  <c r="H32" i="7" s="1"/>
  <c r="F18" i="7"/>
  <c r="D18" i="7"/>
  <c r="B18" i="7"/>
  <c r="B22" i="7" s="1"/>
  <c r="C8" i="7"/>
  <c r="C10" i="7"/>
  <c r="C12" i="7"/>
  <c r="E7" i="7"/>
  <c r="E9" i="7"/>
  <c r="E11" i="7"/>
  <c r="E13" i="7"/>
  <c r="G9" i="7"/>
  <c r="G7" i="7"/>
  <c r="G12" i="7"/>
  <c r="C24" i="7"/>
  <c r="C26" i="7"/>
  <c r="C28" i="7"/>
  <c r="C30" i="7"/>
  <c r="E25" i="7"/>
  <c r="G26" i="7"/>
  <c r="G24" i="7"/>
  <c r="G27" i="7"/>
  <c r="G30" i="7"/>
  <c r="E27" i="7"/>
  <c r="E30" i="7"/>
  <c r="H14" i="7"/>
  <c r="C7" i="7"/>
  <c r="C9" i="7"/>
  <c r="C11" i="7"/>
  <c r="E8" i="7"/>
  <c r="E10" i="7"/>
  <c r="G8" i="7"/>
  <c r="G11" i="7"/>
  <c r="G10" i="7"/>
  <c r="C25" i="7"/>
  <c r="C27" i="7"/>
  <c r="E24" i="7"/>
  <c r="E28" i="7"/>
  <c r="G29" i="7"/>
  <c r="G25" i="7"/>
  <c r="E26" i="7"/>
  <c r="E29" i="7"/>
  <c r="B35" i="7"/>
  <c r="G14" i="7" l="1"/>
  <c r="C14" i="7"/>
  <c r="E14" i="7"/>
  <c r="F22" i="7"/>
  <c r="D35" i="7"/>
  <c r="H35" i="7" s="1"/>
  <c r="H18" i="7"/>
  <c r="D22" i="7"/>
  <c r="E31" i="7"/>
  <c r="G31" i="7"/>
  <c r="C31" i="7"/>
  <c r="H22" i="7" l="1"/>
  <c r="I13" i="55"/>
  <c r="H13" i="55"/>
  <c r="G13" i="55"/>
  <c r="J13" i="55"/>
  <c r="B13" i="34" l="1"/>
  <c r="F21" i="34" l="1"/>
  <c r="F19" i="34"/>
  <c r="F17" i="34"/>
  <c r="F15" i="34"/>
  <c r="F11" i="34"/>
  <c r="F7" i="34"/>
  <c r="F6" i="34"/>
  <c r="F20" i="34"/>
  <c r="F18" i="34"/>
  <c r="F16" i="34"/>
  <c r="F12" i="34"/>
  <c r="F10" i="34"/>
  <c r="H7" i="18"/>
  <c r="B8" i="34"/>
  <c r="C7" i="34" s="1"/>
  <c r="D8" i="34"/>
  <c r="E7" i="34" s="1"/>
  <c r="C11" i="34"/>
  <c r="D13" i="34"/>
  <c r="E12" i="34" s="1"/>
  <c r="C6" i="34" l="1"/>
  <c r="C8" i="34" s="1"/>
  <c r="B14" i="34"/>
  <c r="F13" i="34"/>
  <c r="F8" i="34"/>
  <c r="C12" i="34"/>
  <c r="E10" i="34"/>
  <c r="E11" i="34"/>
  <c r="C10" i="34"/>
  <c r="E6" i="34"/>
  <c r="E8" i="34" s="1"/>
  <c r="D14" i="34"/>
  <c r="F14" i="34" l="1"/>
  <c r="E13" i="34"/>
  <c r="C13" i="34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B17" i="17"/>
  <c r="B6" i="17"/>
  <c r="F17" i="17"/>
  <c r="D19" i="15"/>
  <c r="B12" i="13"/>
  <c r="B9" i="13"/>
  <c r="F12" i="13"/>
  <c r="F9" i="13"/>
  <c r="D12" i="13"/>
  <c r="D9" i="13"/>
  <c r="E13" i="26" l="1"/>
  <c r="E9" i="26"/>
  <c r="E12" i="26"/>
  <c r="E8" i="26"/>
  <c r="E7" i="26"/>
  <c r="E11" i="26"/>
  <c r="E14" i="26"/>
  <c r="E10" i="26"/>
  <c r="C8" i="26"/>
  <c r="C12" i="26"/>
  <c r="C9" i="26"/>
  <c r="C7" i="26"/>
  <c r="C14" i="26"/>
  <c r="C10" i="26"/>
  <c r="C13" i="26"/>
  <c r="C11" i="26"/>
  <c r="D14" i="33"/>
  <c r="H12" i="13"/>
  <c r="H9" i="13"/>
  <c r="B14" i="33"/>
  <c r="C13" i="17"/>
  <c r="F13" i="13"/>
  <c r="D20" i="15"/>
  <c r="H14" i="19"/>
  <c r="B13" i="13"/>
  <c r="C12" i="17"/>
  <c r="C8" i="17"/>
  <c r="C14" i="17"/>
  <c r="D13" i="13"/>
  <c r="C10" i="17"/>
  <c r="C15" i="17"/>
  <c r="C11" i="17"/>
  <c r="C7" i="17"/>
  <c r="E5" i="33"/>
  <c r="C9" i="17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L14" i="25"/>
  <c r="F14" i="25"/>
  <c r="L13" i="25"/>
  <c r="F13" i="25"/>
  <c r="L12" i="25"/>
  <c r="F12" i="25"/>
  <c r="D16" i="25"/>
  <c r="B16" i="25"/>
  <c r="L9" i="25"/>
  <c r="F9" i="25"/>
  <c r="L8" i="25"/>
  <c r="F8" i="25"/>
  <c r="N8" i="25" s="1"/>
  <c r="L7" i="25"/>
  <c r="F7" i="25"/>
  <c r="K13" i="26" l="1"/>
  <c r="K9" i="26"/>
  <c r="K12" i="26"/>
  <c r="K8" i="26"/>
  <c r="K7" i="26"/>
  <c r="K11" i="26"/>
  <c r="K14" i="26"/>
  <c r="K10" i="26"/>
  <c r="I14" i="26"/>
  <c r="I10" i="26"/>
  <c r="I13" i="26"/>
  <c r="I9" i="26"/>
  <c r="I8" i="26"/>
  <c r="I12" i="26"/>
  <c r="I7" i="26"/>
  <c r="I11" i="26"/>
  <c r="N13" i="25"/>
  <c r="N14" i="25"/>
  <c r="N12" i="25"/>
  <c r="N9" i="25"/>
  <c r="N7" i="25"/>
  <c r="E13" i="25"/>
  <c r="E8" i="25"/>
  <c r="E12" i="25"/>
  <c r="E7" i="25"/>
  <c r="E14" i="25"/>
  <c r="E9" i="25"/>
  <c r="C13" i="25"/>
  <c r="C9" i="25"/>
  <c r="C14" i="25"/>
  <c r="C7" i="25"/>
  <c r="C12" i="25"/>
  <c r="C8" i="25"/>
  <c r="I17" i="15"/>
  <c r="I11" i="15"/>
  <c r="I10" i="15"/>
  <c r="I16" i="15"/>
  <c r="I15" i="15"/>
  <c r="I9" i="15"/>
  <c r="I18" i="15"/>
  <c r="I14" i="15"/>
  <c r="I7" i="15"/>
  <c r="I8" i="15"/>
  <c r="N7" i="15"/>
  <c r="E18" i="15"/>
  <c r="E14" i="15"/>
  <c r="E11" i="15"/>
  <c r="E9" i="15"/>
  <c r="E17" i="15"/>
  <c r="E8" i="15"/>
  <c r="E7" i="15"/>
  <c r="E16" i="15"/>
  <c r="E15" i="15"/>
  <c r="E10" i="15"/>
  <c r="N16" i="15"/>
  <c r="N17" i="15"/>
  <c r="N18" i="15"/>
  <c r="N15" i="15"/>
  <c r="N14" i="15"/>
  <c r="N9" i="15"/>
  <c r="N10" i="15"/>
  <c r="N11" i="15"/>
  <c r="N8" i="15"/>
  <c r="H13" i="13"/>
  <c r="N8" i="26"/>
  <c r="E4" i="32"/>
  <c r="F12" i="15"/>
  <c r="L10" i="25"/>
  <c r="L12" i="15"/>
  <c r="F10" i="25"/>
  <c r="C6" i="17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B21" i="18"/>
  <c r="H20" i="18"/>
  <c r="H19" i="18"/>
  <c r="H18" i="18"/>
  <c r="H17" i="18"/>
  <c r="H16" i="18"/>
  <c r="H15" i="18"/>
  <c r="H12" i="18"/>
  <c r="H11" i="18"/>
  <c r="H10" i="18"/>
  <c r="H9" i="18"/>
  <c r="H8" i="18"/>
  <c r="F21" i="18"/>
  <c r="D21" i="18"/>
  <c r="F13" i="18"/>
  <c r="D13" i="18"/>
  <c r="B13" i="18"/>
  <c r="H16" i="17"/>
  <c r="H15" i="17"/>
  <c r="H14" i="17"/>
  <c r="H13" i="17"/>
  <c r="H12" i="17"/>
  <c r="H11" i="17"/>
  <c r="H10" i="17"/>
  <c r="H9" i="17"/>
  <c r="H8" i="17"/>
  <c r="H7" i="17"/>
  <c r="F6" i="17"/>
  <c r="D6" i="17"/>
  <c r="D17" i="17"/>
  <c r="D6" i="14"/>
  <c r="D9" i="14" s="1"/>
  <c r="C6" i="14"/>
  <c r="C9" i="14" s="1"/>
  <c r="B6" i="14"/>
  <c r="B9" i="14" s="1"/>
  <c r="M12" i="26" l="1"/>
  <c r="M8" i="26"/>
  <c r="M11" i="26"/>
  <c r="M7" i="26"/>
  <c r="M14" i="26"/>
  <c r="M10" i="26"/>
  <c r="M13" i="26"/>
  <c r="M9" i="26"/>
  <c r="G10" i="26"/>
  <c r="G14" i="26"/>
  <c r="G11" i="26"/>
  <c r="G7" i="26"/>
  <c r="G8" i="26"/>
  <c r="G12" i="26"/>
  <c r="G9" i="26"/>
  <c r="G13" i="26"/>
  <c r="K12" i="25"/>
  <c r="K9" i="25"/>
  <c r="K14" i="25"/>
  <c r="K8" i="25"/>
  <c r="K13" i="25"/>
  <c r="K7" i="25"/>
  <c r="N15" i="25"/>
  <c r="N10" i="25"/>
  <c r="I14" i="25"/>
  <c r="I13" i="25"/>
  <c r="I9" i="25"/>
  <c r="I12" i="25"/>
  <c r="I8" i="25"/>
  <c r="I7" i="25"/>
  <c r="K17" i="15"/>
  <c r="K8" i="15"/>
  <c r="K16" i="15"/>
  <c r="K11" i="15"/>
  <c r="K7" i="15"/>
  <c r="K15" i="15"/>
  <c r="K10" i="15"/>
  <c r="K18" i="15"/>
  <c r="K14" i="15"/>
  <c r="K9" i="15"/>
  <c r="N19" i="15"/>
  <c r="N12" i="15"/>
  <c r="E9" i="14"/>
  <c r="L20" i="15"/>
  <c r="D11" i="14"/>
  <c r="D12" i="14" s="1"/>
  <c r="I12" i="15"/>
  <c r="E6" i="32"/>
  <c r="E7" i="32"/>
  <c r="E12" i="32"/>
  <c r="E10" i="32"/>
  <c r="E13" i="32"/>
  <c r="E9" i="32"/>
  <c r="C12" i="15"/>
  <c r="C11" i="14"/>
  <c r="C12" i="14" s="1"/>
  <c r="E6" i="14"/>
  <c r="E12" i="15"/>
  <c r="E19" i="15"/>
  <c r="C11" i="19"/>
  <c r="C6" i="19"/>
  <c r="C10" i="19"/>
  <c r="C19" i="15"/>
  <c r="H6" i="17"/>
  <c r="E13" i="17"/>
  <c r="E9" i="17"/>
  <c r="E12" i="17"/>
  <c r="E8" i="17"/>
  <c r="E15" i="17"/>
  <c r="E11" i="17"/>
  <c r="E7" i="17"/>
  <c r="E14" i="17"/>
  <c r="E10" i="17"/>
  <c r="G12" i="17"/>
  <c r="G8" i="17"/>
  <c r="G15" i="17"/>
  <c r="G11" i="17"/>
  <c r="G7" i="17"/>
  <c r="G14" i="17"/>
  <c r="G10" i="17"/>
  <c r="G13" i="17"/>
  <c r="G9" i="17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H21" i="18"/>
  <c r="F22" i="18"/>
  <c r="D22" i="18"/>
  <c r="B22" i="18"/>
  <c r="H13" i="18"/>
  <c r="H17" i="17"/>
  <c r="B11" i="14"/>
  <c r="B12" i="14" s="1"/>
  <c r="E10" i="13"/>
  <c r="E8" i="13"/>
  <c r="E11" i="13"/>
  <c r="E6" i="13"/>
  <c r="F8" i="12"/>
  <c r="D8" i="12"/>
  <c r="B8" i="12"/>
  <c r="M12" i="25" l="1"/>
  <c r="M8" i="25"/>
  <c r="M7" i="25"/>
  <c r="M14" i="25"/>
  <c r="M13" i="25"/>
  <c r="M9" i="25"/>
  <c r="G14" i="25"/>
  <c r="G9" i="25"/>
  <c r="N16" i="25"/>
  <c r="G13" i="25"/>
  <c r="G8" i="25"/>
  <c r="G12" i="25"/>
  <c r="G7" i="25"/>
  <c r="G10" i="25" s="1"/>
  <c r="M18" i="15"/>
  <c r="M7" i="15"/>
  <c r="M11" i="15"/>
  <c r="M15" i="15"/>
  <c r="M14" i="15"/>
  <c r="M8" i="15"/>
  <c r="M16" i="15"/>
  <c r="M9" i="15"/>
  <c r="M17" i="15"/>
  <c r="M10" i="15"/>
  <c r="G18" i="15"/>
  <c r="G8" i="15"/>
  <c r="G7" i="15"/>
  <c r="G15" i="15"/>
  <c r="G14" i="15"/>
  <c r="G9" i="15"/>
  <c r="N20" i="15"/>
  <c r="G16" i="15"/>
  <c r="G10" i="15"/>
  <c r="G17" i="15"/>
  <c r="G11" i="15"/>
  <c r="E12" i="14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C18" i="18"/>
  <c r="C12" i="18"/>
  <c r="C8" i="18"/>
  <c r="C17" i="18"/>
  <c r="C11" i="18"/>
  <c r="C7" i="18"/>
  <c r="C20" i="18"/>
  <c r="C16" i="18"/>
  <c r="C10" i="18"/>
  <c r="C19" i="18"/>
  <c r="C15" i="18"/>
  <c r="C9" i="18"/>
  <c r="E18" i="18"/>
  <c r="E12" i="18"/>
  <c r="E8" i="18"/>
  <c r="E17" i="18"/>
  <c r="E11" i="18"/>
  <c r="E7" i="18"/>
  <c r="E20" i="18"/>
  <c r="E16" i="18"/>
  <c r="E10" i="18"/>
  <c r="E19" i="18"/>
  <c r="E15" i="18"/>
  <c r="E9" i="18"/>
  <c r="G18" i="18"/>
  <c r="G12" i="18"/>
  <c r="G8" i="18"/>
  <c r="G17" i="18"/>
  <c r="G11" i="18"/>
  <c r="G7" i="18"/>
  <c r="G20" i="18"/>
  <c r="G16" i="18"/>
  <c r="G10" i="18"/>
  <c r="G19" i="18"/>
  <c r="G15" i="18"/>
  <c r="G9" i="18"/>
  <c r="E6" i="17"/>
  <c r="H22" i="18"/>
  <c r="E6" i="12"/>
  <c r="E7" i="12"/>
  <c r="G6" i="12"/>
  <c r="G7" i="12"/>
  <c r="M15" i="26"/>
  <c r="G15" i="26"/>
  <c r="K15" i="25"/>
  <c r="C15" i="25"/>
  <c r="E15" i="25"/>
  <c r="G14" i="19"/>
  <c r="C21" i="18"/>
  <c r="G21" i="18"/>
  <c r="E21" i="18"/>
  <c r="G6" i="17"/>
  <c r="E7" i="13"/>
  <c r="E9" i="13" s="1"/>
  <c r="G11" i="13"/>
  <c r="G6" i="13"/>
  <c r="G8" i="13"/>
  <c r="G10" i="13"/>
  <c r="G7" i="13"/>
  <c r="C6" i="13"/>
  <c r="C7" i="13"/>
  <c r="C11" i="13"/>
  <c r="C10" i="13"/>
  <c r="C8" i="13"/>
  <c r="E12" i="13"/>
  <c r="H8" i="12"/>
  <c r="G15" i="25" l="1"/>
  <c r="G16" i="25" s="1"/>
  <c r="M12" i="15"/>
  <c r="M19" i="15"/>
  <c r="G12" i="15"/>
  <c r="G19" i="15"/>
  <c r="M10" i="25"/>
  <c r="K20" i="15"/>
  <c r="G9" i="13"/>
  <c r="C8" i="12"/>
  <c r="I16" i="25"/>
  <c r="C16" i="25"/>
  <c r="K16" i="25"/>
  <c r="E16" i="25"/>
  <c r="M15" i="25"/>
  <c r="C13" i="18"/>
  <c r="C22" i="18" s="1"/>
  <c r="G13" i="18"/>
  <c r="G22" i="18" s="1"/>
  <c r="E13" i="18"/>
  <c r="E22" i="18" s="1"/>
  <c r="E13" i="13"/>
  <c r="C12" i="13"/>
  <c r="C9" i="13"/>
  <c r="G12" i="13"/>
  <c r="E8" i="12"/>
  <c r="G8" i="12"/>
  <c r="M20" i="15" l="1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<sst xmlns="http://schemas.openxmlformats.org/spreadsheetml/2006/main" count="1113" uniqueCount="577">
  <si>
    <t>Датум</t>
  </si>
  <si>
    <t>Број запослених</t>
  </si>
  <si>
    <t>Износ</t>
  </si>
  <si>
    <t>%</t>
  </si>
  <si>
    <t>1.</t>
  </si>
  <si>
    <t>2.</t>
  </si>
  <si>
    <t>3.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</si>
  <si>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</si>
  <si>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</si>
  <si>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</si>
  <si>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</si>
  <si>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</si>
  <si>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</si>
  <si>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</si>
  <si>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1.Новчана средства</t>
  </si>
  <si>
    <t>2.Хартије од вриједности за трговање</t>
  </si>
  <si>
    <t>3.Пласмани другим банкама</t>
  </si>
  <si>
    <t>4. Кредити (бруто)</t>
  </si>
  <si>
    <t>6.Пословни простор и остала фиксна актива</t>
  </si>
  <si>
    <t>7.Остала актива</t>
  </si>
  <si>
    <t>11.Укупно ванбиланс (12+13)</t>
  </si>
  <si>
    <t>15.Депозити</t>
  </si>
  <si>
    <t>16.Узете позајмице</t>
  </si>
  <si>
    <t>17.Обавезе по узетим кредитима</t>
  </si>
  <si>
    <t>19.Остале обавезе</t>
  </si>
  <si>
    <t>20.Резерве за ставке ванбиланса</t>
  </si>
  <si>
    <t>21.Капитал</t>
  </si>
  <si>
    <t>23.Укупно ванбиланс (24+25)</t>
  </si>
  <si>
    <t>5. Хартије од вриједности којe се држе до доспијећа</t>
  </si>
  <si>
    <t>Банкомати</t>
  </si>
  <si>
    <t>Инд.</t>
  </si>
  <si>
    <t xml:space="preserve"> Депозити у КМ</t>
  </si>
  <si>
    <t xml:space="preserve"> Деп. у страној валути</t>
  </si>
  <si>
    <t xml:space="preserve">    Штедња и деп. по виђењу</t>
  </si>
  <si>
    <t xml:space="preserve">    До 3 мјесеца</t>
  </si>
  <si>
    <t xml:space="preserve">    До 1 године</t>
  </si>
  <si>
    <t>1. Укупно кратк. депозити</t>
  </si>
  <si>
    <t xml:space="preserve">    До 3 године </t>
  </si>
  <si>
    <t xml:space="preserve">    Преко 3 године</t>
  </si>
  <si>
    <t>2. Укупно дугор. депозити</t>
  </si>
  <si>
    <t>Укупно депозити (1+2)</t>
  </si>
  <si>
    <t>Укупно</t>
  </si>
  <si>
    <t>1. Краткорочни депозити</t>
  </si>
  <si>
    <t>2. Дугорочни депозити</t>
  </si>
  <si>
    <t>СВЕУКУПНО (1.+2.)</t>
  </si>
  <si>
    <t>Банке РС</t>
  </si>
  <si>
    <t>1. Активни ванбиланс</t>
  </si>
  <si>
    <t>2.  Комисиони послови</t>
  </si>
  <si>
    <t xml:space="preserve">     УКУПНО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</si>
  <si>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</si>
  <si>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</si>
  <si>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</si>
  <si>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</si>
  <si>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</si>
  <si>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</si>
  <si>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</si>
  <si>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ДЕВИЗЕ</t>
  </si>
  <si>
    <t>Рачуни депозита код депоз. инст.  у иностр.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</si>
  <si>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</si>
  <si>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</si>
  <si>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</si>
  <si>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</si>
  <si>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1. Краткорочни кредити грађана</t>
  </si>
  <si>
    <t>2. Дугорочни кредити грађана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</si>
  <si>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</si>
  <si>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</si>
  <si>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</si>
  <si>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</si>
  <si>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</si>
  <si>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</si>
  <si>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</si>
  <si>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</si>
  <si>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</si>
  <si>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</si>
  <si>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</si>
  <si>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</si>
  <si>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</si>
  <si>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</si>
  <si>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</si>
  <si>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</si>
  <si>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</si>
  <si>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</si>
  <si>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</si>
  <si>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</si>
  <si>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</si>
  <si>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</si>
  <si>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</si>
  <si>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</si>
  <si>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</si>
  <si>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</si>
  <si>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</si>
  <si>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</si>
  <si>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</si>
  <si>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</si>
  <si>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</si>
  <si>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</si>
  <si>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</si>
  <si>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</si>
  <si>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</si>
  <si>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</si>
  <si>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</si>
  <si>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</si>
  <si>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</si>
  <si>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</si>
  <si>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</si>
  <si>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</si>
  <si>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</si>
  <si>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</si>
  <si>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</si>
  <si>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</si>
  <si>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</si>
  <si>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</si>
  <si>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</si>
  <si>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</si>
  <si>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</si>
  <si>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</si>
  <si>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</si>
  <si>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</si>
  <si>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</si>
  <si>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</si>
  <si>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</si>
  <si>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</si>
  <si>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</si>
  <si>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</si>
  <si>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</si>
  <si>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</si>
  <si>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</si>
  <si>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</si>
  <si>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</si>
  <si>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</si>
  <si>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</si>
  <si>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5.  ROAA (1/3)</t>
  </si>
  <si>
    <t>6.  ROAE (2/4)</t>
  </si>
  <si>
    <t>Пословне јединице/Филијале</t>
  </si>
  <si>
    <t>06/2019</t>
  </si>
  <si>
    <t>УКУПНО (1.+2.)</t>
  </si>
  <si>
    <t>Јед. бан. ФБиХ</t>
  </si>
  <si>
    <t xml:space="preserve">УКУПНО </t>
  </si>
  <si>
    <t xml:space="preserve"> 1. Банке РС</t>
  </si>
  <si>
    <t xml:space="preserve"> 2. Пословне јединице банака ФБиХ</t>
  </si>
  <si>
    <t xml:space="preserve"> 4. Минус: Пословне јед. банака РС у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</si>
  <si>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</si>
  <si>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</si>
  <si>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</si>
  <si>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</si>
  <si>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</si>
  <si>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</si>
  <si>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</si>
  <si>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</si>
  <si>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</si>
  <si>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</si>
  <si>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</si>
  <si>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</si>
  <si>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</si>
  <si>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</si>
  <si>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</si>
  <si>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</si>
  <si>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</si>
  <si>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</si>
  <si>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</si>
  <si>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06/2018</t>
  </si>
  <si>
    <t>2. Нето ликвидносни одливи</t>
  </si>
  <si>
    <t>06/2015</t>
  </si>
  <si>
    <t>06/2016</t>
  </si>
  <si>
    <t>06/2017</t>
  </si>
  <si>
    <t>* Укупне приходе чине нето каматни приход и оперативни приход</t>
  </si>
  <si>
    <t>7. Нето каматни приход</t>
  </si>
  <si>
    <t>8.Оперативни приходи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</si>
  <si>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</si>
  <si>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</si>
  <si>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</si>
  <si>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</si>
  <si>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SELECT datum,SUM(iznos) from aggoff.dbo.bu</t>
  </si>
  <si>
    <t>where ( datum='20190630' or day(datum)=30 and month(datum)=06 and YEAR(datum)&gt;2013) and stavka='9ND'</t>
  </si>
  <si>
    <t>group by datum</t>
  </si>
  <si>
    <t>where ( datum='20190630' or day(datum)=30 and month(datum)=06 and YEAR(datum)&gt;2013) and stavka='9NG'</t>
  </si>
  <si>
    <t>neto dobit</t>
  </si>
  <si>
    <t>neto gubitak</t>
  </si>
  <si>
    <t>neto kamatni prihod</t>
  </si>
  <si>
    <t>where ( datum='20190630' or day(datum)=30 and month(datum)=06 and YEAR(datum)&gt;2013) and stavka='NKS'</t>
  </si>
  <si>
    <t>UKUPNI OPERATIVNI PRIHOD</t>
  </si>
  <si>
    <t>where ( datum='20190630' or day(datum)=30 and month(datum)=06 and YEAR(datum)&gt;2013) and stavka='UOP'</t>
  </si>
  <si>
    <t>where ( datum='20190630' or day(datum)=30 and month(datum)=06 and YEAR(datum)&gt;2013) and stavka ='OPT'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</si>
  <si>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</si>
  <si>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</si>
  <si>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</si>
  <si>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</si>
  <si>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Јед. банака ФБиХ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</si>
  <si>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</si>
  <si>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</si>
  <si>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</si>
  <si>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</si>
  <si>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 xml:space="preserve"> УКУПНО</t>
  </si>
  <si>
    <t>БАНКА</t>
  </si>
  <si>
    <t xml:space="preserve">СЈЕДИШТЕ </t>
  </si>
  <si>
    <t>АДРЕСА</t>
  </si>
  <si>
    <t>ПРЕДСЈЕДНИК УПРАВЕ</t>
  </si>
  <si>
    <t>Напомена:</t>
  </si>
  <si>
    <t>Агенција за банкарство Републике Српске</t>
  </si>
  <si>
    <t>9.а. Исправке вриједности за ставке кредита</t>
  </si>
  <si>
    <t>9.б.Исправке вријед. за ставке активе осим кредита</t>
  </si>
  <si>
    <t>12. Активни ванбиланс</t>
  </si>
  <si>
    <t>13. Комисиони послови (агентски)</t>
  </si>
  <si>
    <t>24. Активни ванбиланс</t>
  </si>
  <si>
    <t>25. Комисиони послови (агентски)</t>
  </si>
  <si>
    <t>1. Кредити грађана</t>
  </si>
  <si>
    <t>2. Штедња грађана</t>
  </si>
  <si>
    <t xml:space="preserve"> 2.1. орочена штедња</t>
  </si>
  <si>
    <t xml:space="preserve"> 2.2. штедња по виђењу</t>
  </si>
  <si>
    <t>3. Кредити/Штедња</t>
  </si>
  <si>
    <t>4. Текући рачуни грађана</t>
  </si>
  <si>
    <t>5. Укупно депозити (2+4)</t>
  </si>
  <si>
    <t>6. Кредити/Укупни депозити</t>
  </si>
  <si>
    <t>Укупни кредити</t>
  </si>
  <si>
    <t>Помоћна табела</t>
  </si>
  <si>
    <t>OVAKO treba za 2015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</si>
  <si>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</si>
  <si>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</si>
  <si>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</si>
  <si>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</si>
  <si>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Укупна актива</t>
  </si>
  <si>
    <t>ТАБЕЛЕ ЗА ИЗВЈЕШТАЈ О СТАЊУ У БАНКАРСКОМ СЕКТОРУ РС</t>
  </si>
  <si>
    <t>Укупни капитал</t>
  </si>
  <si>
    <t>18.Субординисани дугови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</si>
  <si>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</si>
  <si>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</si>
  <si>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</si>
  <si>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</si>
  <si>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</si>
  <si>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</si>
  <si>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Укупни кредити становништву</t>
  </si>
  <si>
    <t>Кредити становништву за обављање дјелатности</t>
  </si>
  <si>
    <t>Банке РС* (1.1.-1.2.)</t>
  </si>
  <si>
    <t>2.1.</t>
  </si>
  <si>
    <t>2.2.</t>
  </si>
  <si>
    <t>Пословне јединице банака РС у ФБиХ* (2.1.-2.2.)</t>
  </si>
  <si>
    <t>3.1.</t>
  </si>
  <si>
    <t>3.2.</t>
  </si>
  <si>
    <t>Пословне јединице банака ФБиХ у РС* (3.1.-3.2.)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</si>
  <si>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</si>
  <si>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</si>
  <si>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</si>
  <si>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</si>
  <si>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</si>
  <si>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</si>
  <si>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</si>
  <si>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</si>
  <si>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</si>
  <si>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</si>
  <si>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</si>
  <si>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</si>
  <si>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</si>
  <si>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</si>
  <si>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</si>
  <si>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</si>
  <si>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</si>
  <si>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</si>
  <si>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</si>
  <si>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</si>
  <si>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</si>
  <si>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</si>
  <si>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</si>
  <si>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</si>
  <si>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</si>
  <si>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</si>
  <si>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</si>
  <si>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</si>
  <si>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</si>
  <si>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</si>
  <si>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</si>
  <si>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</si>
  <si>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</si>
  <si>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</si>
  <si>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</si>
  <si>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</si>
  <si>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</si>
  <si>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</si>
  <si>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</si>
  <si>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</si>
  <si>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</si>
  <si>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</si>
  <si>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</si>
  <si>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</si>
  <si>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</si>
  <si>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</si>
  <si>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</si>
  <si>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</si>
  <si>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</si>
  <si>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</si>
  <si>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</si>
  <si>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</si>
  <si>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</si>
  <si>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 xml:space="preserve">  Правна лица</t>
  </si>
  <si>
    <t xml:space="preserve">  Физичка лица</t>
  </si>
  <si>
    <t>Депозити</t>
  </si>
  <si>
    <t>Банке са већински домаћим капиталом</t>
  </si>
  <si>
    <t>Банке са већински страним капиталом</t>
  </si>
  <si>
    <t>Тип</t>
  </si>
  <si>
    <t>Банкарски сектор</t>
  </si>
  <si>
    <t>Шифра</t>
  </si>
  <si>
    <t>Tab 3</t>
  </si>
  <si>
    <t>Tab 5</t>
  </si>
  <si>
    <t>Tab 8</t>
  </si>
  <si>
    <t>Tab 10</t>
  </si>
  <si>
    <t>Tab 17</t>
  </si>
  <si>
    <t>010</t>
  </si>
  <si>
    <t>015</t>
  </si>
  <si>
    <t>020</t>
  </si>
  <si>
    <t>040</t>
  </si>
  <si>
    <t>060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</si>
  <si>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</si>
  <si>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</si>
  <si>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140</t>
  </si>
  <si>
    <t>150</t>
  </si>
  <si>
    <t>180</t>
  </si>
  <si>
    <t>200</t>
  </si>
  <si>
    <t>340</t>
  </si>
  <si>
    <t>1.1.1.11</t>
  </si>
  <si>
    <t>370</t>
  </si>
  <si>
    <t>440</t>
  </si>
  <si>
    <t>490</t>
  </si>
  <si>
    <t>530</t>
  </si>
  <si>
    <t>540</t>
  </si>
  <si>
    <t>720</t>
  </si>
  <si>
    <t>740</t>
  </si>
  <si>
    <t>750</t>
  </si>
  <si>
    <t>760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</si>
  <si>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</si>
  <si>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</si>
  <si>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</si>
  <si>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</si>
  <si>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</si>
  <si>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</si>
  <si>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</si>
  <si>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</si>
  <si>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</si>
  <si>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Кредити и штедња грађана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</si>
  <si>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</si>
  <si>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</si>
  <si>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</si>
  <si>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</si>
  <si>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</si>
  <si>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</si>
  <si>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</si>
  <si>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</si>
  <si>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</si>
  <si>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</si>
  <si>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</si>
  <si>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</si>
  <si>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</si>
  <si>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</si>
  <si>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</si>
  <si>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</si>
  <si>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</si>
  <si>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</si>
  <si>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</si>
  <si>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</si>
  <si>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</si>
  <si>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</si>
  <si>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</si>
  <si>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</si>
  <si>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</si>
  <si>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</si>
  <si>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</si>
  <si>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</si>
  <si>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</si>
  <si>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</si>
  <si>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</si>
  <si>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</si>
  <si>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</si>
  <si>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</si>
  <si>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</si>
  <si>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</si>
  <si>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</si>
  <si>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</si>
  <si>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</si>
  <si>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</si>
  <si>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</si>
  <si>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</si>
  <si>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</si>
  <si>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</si>
  <si>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Pr 1</t>
  </si>
  <si>
    <t>Pr 2</t>
  </si>
  <si>
    <t>Табеле</t>
  </si>
  <si>
    <t>Девизни платни промет (противриједност у КМ)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</si>
  <si>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</si>
  <si>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</si>
  <si>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</si>
  <si>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Намјенска структура кредита грађанима за општу потрошњу</t>
  </si>
  <si>
    <t>Структура кредита грађанима банака РС и посл. јединица банака из ФБиХ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</si>
  <si>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</si>
  <si>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</si>
  <si>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</si>
  <si>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I Банке у Републици Српској</t>
  </si>
  <si>
    <t>II Орг. дијелови банака из ФБиХ у РС</t>
  </si>
  <si>
    <t>Остали организациони дијелови</t>
  </si>
  <si>
    <t>POS уређаји</t>
  </si>
  <si>
    <t>Укупно I</t>
  </si>
  <si>
    <t>Укупно II</t>
  </si>
  <si>
    <t>Укупно I+II</t>
  </si>
  <si>
    <t>мил. КМ</t>
  </si>
  <si>
    <t>у укупној активи</t>
  </si>
  <si>
    <t>у укупном капиталу</t>
  </si>
  <si>
    <t>у депозитима</t>
  </si>
  <si>
    <t>ПАСИВА(ОБАВЕЗЕ)</t>
  </si>
  <si>
    <t>8. УКУПНО (1 до 7)</t>
  </si>
  <si>
    <t>АКТИВА (ИМОВИНА)</t>
  </si>
  <si>
    <t>Банке</t>
  </si>
  <si>
    <t>Неопозиве обавезе за давање кредита</t>
  </si>
  <si>
    <t>Купљена потраживања по датим кредитима</t>
  </si>
  <si>
    <t>Неопозиви док. акредитиви</t>
  </si>
  <si>
    <t>Остали акредитиви за плаћ. у ино.</t>
  </si>
  <si>
    <t>Издате мјенице и дати авали</t>
  </si>
  <si>
    <t>Ностро фин.активн.везано за процес наплате</t>
  </si>
  <si>
    <t>Текући уговори за трансак. с девизама</t>
  </si>
  <si>
    <t>Остале ставке ванбиланса</t>
  </si>
  <si>
    <t>Владине институције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</si>
  <si>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</si>
  <si>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</si>
  <si>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</si>
  <si>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</si>
  <si>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</si>
  <si>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Грађани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</si>
  <si>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</si>
  <si>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</si>
  <si>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</si>
  <si>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</si>
  <si>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</si>
  <si>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</si>
  <si>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</si>
  <si>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</si>
  <si>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</si>
  <si>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</si>
  <si>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</si>
  <si>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</si>
  <si>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</si>
  <si>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</si>
  <si>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09/2020.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</si>
  <si>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</si>
  <si>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</si>
  <si>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</si>
  <si>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</si>
  <si>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</si>
  <si>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</si>
  <si>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</si>
  <si>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</si>
  <si>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</si>
  <si>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</si>
  <si>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</si>
  <si>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</si>
  <si>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</si>
  <si>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</si>
  <si>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</si>
  <si>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</si>
  <si>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</si>
  <si>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До 5 година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</si>
  <si>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</si>
  <si>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</si>
  <si>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</si>
  <si>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</si>
  <si>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</si>
  <si>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</si>
  <si>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</si>
  <si>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</si>
  <si>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</si>
  <si>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</si>
  <si>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</si>
  <si>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</si>
  <si>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</si>
  <si>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</si>
  <si>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</si>
  <si>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</si>
  <si>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</si>
  <si>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</si>
  <si>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</si>
  <si>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</si>
  <si>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</si>
  <si>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</si>
  <si>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</si>
  <si>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</si>
  <si>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</si>
  <si>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</si>
  <si>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</si>
  <si>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</si>
  <si>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</si>
  <si>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</si>
  <si>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</si>
  <si>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</si>
  <si>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</si>
  <si>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</si>
  <si>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</si>
  <si>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10. НЕТО АКТИВА (8-9)</t>
  </si>
  <si>
    <t>14.УКУПНО АКТИВА (10+11)</t>
  </si>
  <si>
    <t>22.УКУПНО ОБАВЕЗЕ И КАПИТАЛ</t>
  </si>
  <si>
    <t>26.УКУПНО ПАСИВА ( 22+23)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</si>
  <si>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</si>
  <si>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</si>
  <si>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</si>
  <si>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</si>
  <si>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</si>
  <si>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</si>
  <si>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</si>
  <si>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</si>
  <si>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</si>
  <si>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</si>
  <si>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</si>
  <si>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</si>
  <si>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</si>
  <si>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</si>
  <si>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</si>
  <si>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</si>
  <si>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</si>
  <si>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</si>
  <si>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9.Исправке вриједности</t>
  </si>
  <si>
    <t>Банке и др. фин.инст.</t>
  </si>
  <si>
    <t>СВЕУКУПНО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</si>
  <si>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</si>
  <si>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</si>
  <si>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</si>
  <si>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</si>
  <si>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1. ПРИХОДИ ПО КАМАТАМА И СЛ. ПРИХОДИ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</si>
  <si>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</si>
  <si>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</si>
  <si>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</si>
  <si>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</si>
  <si>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</si>
  <si>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</si>
  <si>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>прекорачења по рачун. становништва</t>
  </si>
  <si>
    <t>прекорачења по рачун. становништво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</si>
  <si>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</si>
  <si>
    <t>30.06.2021</t>
  </si>
  <si>
    <t>2019.</t>
  </si>
  <si>
    <t>2020.</t>
  </si>
  <si>
    <t>06/2021.</t>
  </si>
  <si>
    <t>"Нова банка" а.д. Бања Лука</t>
  </si>
  <si>
    <t>"НЛБ банка" а.д. Бања Лука</t>
  </si>
  <si>
    <t>"UniCredit Bank" а.д. Бања Лука</t>
  </si>
  <si>
    <t>"Sberbank" а.д. Бања Лука</t>
  </si>
  <si>
    <t>"Addiko Bank" а.д. Бања Лука</t>
  </si>
  <si>
    <t>"МФ банка" а.д. Бања Лука</t>
  </si>
  <si>
    <t>"Комерцијална банка" а.д. Бања Лука</t>
  </si>
  <si>
    <t>"Наша банка" а.д. Бијељина</t>
  </si>
  <si>
    <t>"UniCredit Bank" д.д. Мостар</t>
  </si>
  <si>
    <t>"ProCredit Bank" д.д. Сарајево</t>
  </si>
  <si>
    <t>"Raiffeisen Bank" д.д. Сарајево</t>
  </si>
  <si>
    <t>"Intesa SanPaolo banka" д.д. Сарајево</t>
  </si>
  <si>
    <t>"Sparkasse Bank" д.д. Сарајево</t>
  </si>
  <si>
    <t>"Ziraat Bank" д.д. Сарајево</t>
  </si>
  <si>
    <t>"Bosna Bank International" д.д. Сарајево</t>
  </si>
  <si>
    <t>06/2020.</t>
  </si>
  <si>
    <t>06/2017.</t>
  </si>
  <si>
    <t>06/2018.</t>
  </si>
  <si>
    <t>06/2019.</t>
  </si>
  <si>
    <t>03/2020.</t>
  </si>
  <si>
    <t>03/2021.</t>
  </si>
  <si>
    <t>01/2021.</t>
  </si>
  <si>
    <t>02/2021.</t>
  </si>
  <si>
    <t>04/2021.</t>
  </si>
  <si>
    <t>05/2021.</t>
  </si>
  <si>
    <t>Јеврејска 71</t>
  </si>
  <si>
    <t>Јеврејска 69</t>
  </si>
  <si>
    <t>Алеја Светог Саве 13</t>
  </si>
  <si>
    <t>Алеја светог Саве 61</t>
  </si>
  <si>
    <t>Гордан Пехар</t>
  </si>
  <si>
    <t>Патријарха Павла 3</t>
  </si>
  <si>
    <t>Бања Лука</t>
  </si>
  <si>
    <t>Бијељина</t>
  </si>
  <si>
    <t>Милана Тепића 4</t>
  </si>
  <si>
    <t>Марије Бурсаћ 7</t>
  </si>
  <si>
    <t>Синиша Аџић</t>
  </si>
  <si>
    <t>Радован Бајић</t>
  </si>
  <si>
    <t>Александар Кесић</t>
  </si>
  <si>
    <t>Срђан Кондић</t>
  </si>
  <si>
    <t>Бојан Лубурић</t>
  </si>
  <si>
    <t>Бошко Мекињић</t>
  </si>
  <si>
    <t>Дејан Вуклишевић</t>
  </si>
  <si>
    <t>Краља Алфонса XIII бр. 37А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</si>
</sst>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9"/>
      <color rgb="FF92D050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</fills>
  <borders count="180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rgb="FF808080"/>
      </left>
      <right style="dotted">
        <color rgb="FF808080"/>
      </right>
      <top/>
      <bottom/>
      <diagonal/>
    </border>
    <border>
      <left style="dotted">
        <color rgb="FF808080"/>
      </left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auto="1"/>
      </right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dotted">
        <color auto="1"/>
      </top>
      <bottom style="dotted">
        <color rgb="FF808080"/>
      </bottom>
      <diagonal/>
    </border>
    <border>
      <left/>
      <right/>
      <top style="dotted">
        <color auto="1"/>
      </top>
      <bottom style="dotted">
        <color rgb="FF808080"/>
      </bottom>
      <diagonal/>
    </border>
    <border>
      <left/>
      <right style="dotted">
        <color rgb="FF808080"/>
      </right>
      <top style="dotted">
        <color auto="1"/>
      </top>
      <bottom style="dotted">
        <color rgb="FF808080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rgb="FF808080"/>
      </bottom>
      <diagonal/>
    </border>
    <border>
      <left/>
      <right style="dotted">
        <color theme="1" tint="0.499984740745262"/>
      </right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auto="1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 style="dotted">
        <color auto="1"/>
      </left>
      <right/>
      <top/>
      <bottom style="thin">
        <color theme="1" tint="0.499984740745262"/>
      </bottom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</borders>
  <cellStyleXfs count="30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4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24" fillId="0" borderId="0"/>
    <xf numFmtId="0" fontId="8" fillId="0" borderId="0"/>
    <xf numFmtId="0" fontId="35" fillId="0" borderId="0"/>
    <xf numFmtId="0" fontId="36" fillId="0" borderId="0"/>
    <xf numFmtId="0" fontId="6" fillId="0" borderId="0"/>
    <xf numFmtId="9" fontId="6" fillId="0" borderId="0" applyFont="0" applyFill="0" applyBorder="0" applyAlignment="0" applyProtection="0"/>
    <xf numFmtId="0" fontId="35" fillId="0" borderId="0"/>
    <xf numFmtId="0" fontId="42" fillId="0" borderId="0"/>
    <xf numFmtId="0" fontId="8" fillId="0" borderId="0"/>
    <xf numFmtId="0" fontId="44" fillId="0" borderId="0" applyBorder="0"/>
    <xf numFmtId="0" fontId="45" fillId="0" borderId="0"/>
    <xf numFmtId="0" fontId="45" fillId="0" borderId="0"/>
    <xf numFmtId="0" fontId="36" fillId="0" borderId="0"/>
    <xf numFmtId="0" fontId="46" fillId="0" borderId="0"/>
    <xf numFmtId="0" fontId="6" fillId="0" borderId="0"/>
    <xf numFmtId="0" fontId="24" fillId="0" borderId="0"/>
  </cellStyleXfs>
  <cellXfs count="891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7" fillId="0" borderId="0" xfId="0" applyFont="1"/>
    <xf numFmtId="3" fontId="9" fillId="4" borderId="0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vertical="center" wrapText="1"/>
    </xf>
    <xf numFmtId="164" fontId="9" fillId="4" borderId="0" xfId="0" applyNumberFormat="1" applyFont="1" applyFill="1" applyBorder="1" applyAlignment="1">
      <alignment horizontal="right" vertical="center" wrapText="1"/>
    </xf>
    <xf numFmtId="3" fontId="9" fillId="4" borderId="0" xfId="2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12" fillId="0" borderId="0" xfId="0" applyFont="1"/>
    <xf numFmtId="0" fontId="25" fillId="0" borderId="0" xfId="7" applyFont="1" applyAlignment="1">
      <alignment horizontal="center"/>
    </xf>
    <xf numFmtId="0" fontId="26" fillId="0" borderId="0" xfId="7" applyFont="1" applyAlignment="1">
      <alignment horizontal="left" wrapText="1"/>
    </xf>
    <xf numFmtId="0" fontId="27" fillId="0" borderId="0" xfId="7" applyFont="1" applyAlignment="1">
      <alignment horizontal="right" vertical="center"/>
    </xf>
    <xf numFmtId="22" fontId="24" fillId="0" borderId="0" xfId="7" applyNumberFormat="1"/>
    <xf numFmtId="0" fontId="12" fillId="4" borderId="0" xfId="0" applyFont="1" applyFill="1"/>
    <xf numFmtId="0" fontId="17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/>
    <xf numFmtId="0" fontId="24" fillId="0" borderId="0" xfId="7"/>
    <xf numFmtId="14" fontId="24" fillId="0" borderId="0" xfId="7" applyNumberFormat="1"/>
    <xf numFmtId="0" fontId="39" fillId="0" borderId="0" xfId="1" applyFont="1" applyAlignment="1">
      <alignment vertical="center"/>
    </xf>
    <xf numFmtId="14" fontId="37" fillId="0" borderId="0" xfId="7" applyNumberFormat="1" applyFont="1"/>
    <xf numFmtId="0" fontId="41" fillId="0" borderId="0" xfId="7" applyFont="1"/>
    <xf numFmtId="14" fontId="41" fillId="0" borderId="0" xfId="7" applyNumberFormat="1" applyFont="1"/>
    <xf numFmtId="0" fontId="24" fillId="0" borderId="0" xfId="7" applyAlignment="1">
      <alignment horizontal="right" vertical="center"/>
    </xf>
    <xf numFmtId="0" fontId="38" fillId="0" borderId="0" xfId="0" applyFont="1"/>
    <xf numFmtId="0" fontId="27" fillId="0" borderId="7" xfId="0" applyFont="1" applyBorder="1" applyAlignment="1">
      <alignment vertical="center"/>
    </xf>
    <xf numFmtId="0" fontId="37" fillId="0" borderId="0" xfId="7" applyFont="1"/>
    <xf numFmtId="0" fontId="24" fillId="0" borderId="0" xfId="7" applyFill="1"/>
    <xf numFmtId="0" fontId="24" fillId="0" borderId="0" xfId="7"/>
    <xf numFmtId="0" fontId="24" fillId="0" borderId="0" xfId="7" applyAlignment="1">
      <alignment horizontal="center" vertical="center"/>
    </xf>
    <xf numFmtId="3" fontId="24" fillId="0" borderId="0" xfId="7" applyNumberFormat="1"/>
    <xf numFmtId="0" fontId="24" fillId="0" borderId="0" xfId="7" applyBorder="1"/>
    <xf numFmtId="0" fontId="1" fillId="0" borderId="0" xfId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9" xfId="0" applyBorder="1"/>
    <xf numFmtId="0" fontId="43" fillId="0" borderId="9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4" fillId="0" borderId="9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28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8" fillId="5" borderId="0" xfId="0" applyFont="1" applyFill="1" applyAlignment="1">
      <alignment vertical="center"/>
    </xf>
    <xf numFmtId="0" fontId="32" fillId="5" borderId="0" xfId="0" applyFont="1" applyFill="1"/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3" fontId="9" fillId="4" borderId="0" xfId="0" applyNumberFormat="1" applyFont="1" applyFill="1" applyAlignment="1">
      <alignment horizontal="right" vertical="center" wrapText="1" indent="1"/>
    </xf>
    <xf numFmtId="0" fontId="10" fillId="4" borderId="18" xfId="0" applyFont="1" applyFill="1" applyBorder="1" applyAlignment="1">
      <alignment horizontal="left" vertical="center" wrapText="1"/>
    </xf>
    <xf numFmtId="3" fontId="10" fillId="4" borderId="19" xfId="0" applyNumberFormat="1" applyFont="1" applyFill="1" applyBorder="1" applyAlignment="1">
      <alignment horizontal="right" vertical="center" wrapText="1" indent="1"/>
    </xf>
    <xf numFmtId="0" fontId="22" fillId="4" borderId="17" xfId="0" applyFont="1" applyFill="1" applyBorder="1" applyAlignment="1">
      <alignment horizontal="left" vertical="center" wrapText="1"/>
    </xf>
    <xf numFmtId="3" fontId="11" fillId="4" borderId="0" xfId="0" applyNumberFormat="1" applyFont="1" applyFill="1" applyAlignment="1">
      <alignment horizontal="right" vertical="center" wrapText="1" indent="1"/>
    </xf>
    <xf numFmtId="0" fontId="10" fillId="4" borderId="1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3" fontId="10" fillId="4" borderId="21" xfId="0" applyNumberFormat="1" applyFont="1" applyFill="1" applyBorder="1" applyAlignment="1">
      <alignment horizontal="right" vertical="center" wrapText="1" indent="1"/>
    </xf>
    <xf numFmtId="0" fontId="48" fillId="5" borderId="0" xfId="0" applyFont="1" applyFill="1" applyAlignment="1">
      <alignment horizontal="right" vertical="center"/>
    </xf>
    <xf numFmtId="0" fontId="48" fillId="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right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164" fontId="12" fillId="4" borderId="25" xfId="0" applyNumberFormat="1" applyFont="1" applyFill="1" applyBorder="1" applyAlignment="1">
      <alignment horizontal="right" vertical="center" wrapText="1" indent="1"/>
    </xf>
    <xf numFmtId="164" fontId="12" fillId="4" borderId="0" xfId="0" applyNumberFormat="1" applyFont="1" applyFill="1" applyAlignment="1">
      <alignment horizontal="right" vertical="center" wrapText="1" indent="1"/>
    </xf>
    <xf numFmtId="0" fontId="12" fillId="4" borderId="17" xfId="0" applyFont="1" applyFill="1" applyBorder="1" applyAlignment="1">
      <alignment horizontal="right" vertical="center" wrapText="1" indent="1"/>
    </xf>
    <xf numFmtId="0" fontId="12" fillId="4" borderId="0" xfId="0" applyFont="1" applyFill="1" applyAlignment="1">
      <alignment horizontal="right" vertical="center" wrapText="1" indent="1"/>
    </xf>
    <xf numFmtId="0" fontId="9" fillId="4" borderId="21" xfId="0" applyFont="1" applyFill="1" applyBorder="1" applyAlignment="1">
      <alignment vertical="center" wrapText="1"/>
    </xf>
    <xf numFmtId="164" fontId="12" fillId="4" borderId="38" xfId="0" applyNumberFormat="1" applyFont="1" applyFill="1" applyBorder="1" applyAlignment="1">
      <alignment horizontal="right" vertical="center" wrapText="1" indent="1"/>
    </xf>
    <xf numFmtId="164" fontId="12" fillId="4" borderId="21" xfId="0" applyNumberFormat="1" applyFont="1" applyFill="1" applyBorder="1" applyAlignment="1">
      <alignment horizontal="right" vertical="center" wrapText="1" indent="1"/>
    </xf>
    <xf numFmtId="0" fontId="12" fillId="4" borderId="20" xfId="0" applyFont="1" applyFill="1" applyBorder="1" applyAlignment="1">
      <alignment horizontal="right" vertical="center" wrapText="1" indent="1"/>
    </xf>
    <xf numFmtId="0" fontId="12" fillId="4" borderId="21" xfId="0" applyFont="1" applyFill="1" applyBorder="1" applyAlignment="1">
      <alignment horizontal="right" vertical="center" wrapText="1" inden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/>
    <xf numFmtId="49" fontId="13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52" fillId="6" borderId="0" xfId="0" applyFont="1" applyFill="1" applyAlignment="1">
      <alignment vertical="center"/>
    </xf>
    <xf numFmtId="0" fontId="30" fillId="6" borderId="0" xfId="0" applyFont="1" applyFill="1" applyAlignment="1">
      <alignment vertical="center"/>
    </xf>
    <xf numFmtId="0" fontId="53" fillId="5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center" vertical="center" wrapText="1"/>
    </xf>
    <xf numFmtId="3" fontId="9" fillId="4" borderId="41" xfId="0" applyNumberFormat="1" applyFont="1" applyFill="1" applyBorder="1" applyAlignment="1">
      <alignment horizontal="right" vertical="center" wrapText="1" indent="1"/>
    </xf>
    <xf numFmtId="164" fontId="9" fillId="4" borderId="41" xfId="0" applyNumberFormat="1" applyFont="1" applyFill="1" applyBorder="1" applyAlignment="1">
      <alignment horizontal="right" vertical="center" wrapText="1" indent="1"/>
    </xf>
    <xf numFmtId="164" fontId="9" fillId="4" borderId="0" xfId="0" applyNumberFormat="1" applyFont="1" applyFill="1" applyAlignment="1">
      <alignment horizontal="right" vertical="center" wrapText="1" indent="1"/>
    </xf>
    <xf numFmtId="3" fontId="9" fillId="4" borderId="42" xfId="0" applyNumberFormat="1" applyFont="1" applyFill="1" applyBorder="1" applyAlignment="1">
      <alignment horizontal="right" vertical="center" wrapText="1" indent="1"/>
    </xf>
    <xf numFmtId="164" fontId="9" fillId="4" borderId="42" xfId="0" applyNumberFormat="1" applyFont="1" applyFill="1" applyBorder="1" applyAlignment="1">
      <alignment horizontal="right" vertical="center" wrapText="1" indent="1"/>
    </xf>
    <xf numFmtId="0" fontId="10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47" xfId="0" applyFont="1" applyFill="1" applyBorder="1" applyAlignment="1">
      <alignment horizontal="right" vertical="center" wrapText="1"/>
    </xf>
    <xf numFmtId="0" fontId="10" fillId="4" borderId="48" xfId="0" applyFont="1" applyFill="1" applyBorder="1" applyAlignment="1">
      <alignment horizontal="right" vertical="center" wrapText="1"/>
    </xf>
    <xf numFmtId="3" fontId="9" fillId="4" borderId="0" xfId="0" applyNumberFormat="1" applyFont="1" applyFill="1" applyAlignment="1">
      <alignment horizontal="right" vertical="center" wrapText="1"/>
    </xf>
    <xf numFmtId="3" fontId="10" fillId="4" borderId="0" xfId="0" applyNumberFormat="1" applyFont="1" applyFill="1" applyAlignment="1">
      <alignment horizontal="right" vertical="center" wrapText="1"/>
    </xf>
    <xf numFmtId="164" fontId="9" fillId="4" borderId="47" xfId="0" applyNumberFormat="1" applyFont="1" applyFill="1" applyBorder="1" applyAlignment="1">
      <alignment horizontal="right" vertical="center" wrapText="1"/>
    </xf>
    <xf numFmtId="0" fontId="10" fillId="4" borderId="49" xfId="0" applyFont="1" applyFill="1" applyBorder="1" applyAlignment="1">
      <alignment vertical="center" wrapText="1"/>
    </xf>
    <xf numFmtId="164" fontId="10" fillId="4" borderId="50" xfId="0" applyNumberFormat="1" applyFont="1" applyFill="1" applyBorder="1" applyAlignment="1">
      <alignment horizontal="right" vertical="center" wrapText="1"/>
    </xf>
    <xf numFmtId="165" fontId="10" fillId="4" borderId="51" xfId="0" applyNumberFormat="1" applyFont="1" applyFill="1" applyBorder="1" applyAlignment="1">
      <alignment horizontal="right" vertical="center" wrapText="1"/>
    </xf>
    <xf numFmtId="3" fontId="10" fillId="4" borderId="49" xfId="0" applyNumberFormat="1" applyFont="1" applyFill="1" applyBorder="1" applyAlignment="1">
      <alignment horizontal="right" vertical="center" wrapText="1"/>
    </xf>
    <xf numFmtId="0" fontId="10" fillId="4" borderId="52" xfId="0" applyFont="1" applyFill="1" applyBorder="1" applyAlignment="1">
      <alignment vertical="center" wrapText="1"/>
    </xf>
    <xf numFmtId="164" fontId="10" fillId="4" borderId="53" xfId="0" applyNumberFormat="1" applyFont="1" applyFill="1" applyBorder="1" applyAlignment="1">
      <alignment horizontal="right" vertical="center" wrapText="1"/>
    </xf>
    <xf numFmtId="165" fontId="10" fillId="4" borderId="54" xfId="0" applyNumberFormat="1" applyFont="1" applyFill="1" applyBorder="1" applyAlignment="1">
      <alignment horizontal="right" vertical="center" wrapText="1"/>
    </xf>
    <xf numFmtId="3" fontId="10" fillId="4" borderId="52" xfId="0" applyNumberFormat="1" applyFont="1" applyFill="1" applyBorder="1" applyAlignment="1">
      <alignment horizontal="right" vertical="center" wrapText="1"/>
    </xf>
    <xf numFmtId="0" fontId="55" fillId="5" borderId="0" xfId="0" applyFont="1" applyFill="1" applyBorder="1" applyAlignment="1">
      <alignment vertical="center"/>
    </xf>
    <xf numFmtId="0" fontId="54" fillId="4" borderId="56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57" fillId="5" borderId="0" xfId="0" applyFont="1" applyFill="1" applyAlignment="1">
      <alignment horizontal="left"/>
    </xf>
    <xf numFmtId="0" fontId="15" fillId="4" borderId="1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vertical="center" wrapText="1"/>
    </xf>
    <xf numFmtId="164" fontId="10" fillId="4" borderId="27" xfId="0" applyNumberFormat="1" applyFont="1" applyFill="1" applyBorder="1" applyAlignment="1">
      <alignment horizontal="right" vertical="center" wrapText="1" indent="1"/>
    </xf>
    <xf numFmtId="3" fontId="10" fillId="4" borderId="26" xfId="0" applyNumberFormat="1" applyFont="1" applyFill="1" applyBorder="1" applyAlignment="1">
      <alignment horizontal="right" vertical="center" wrapText="1" indent="1"/>
    </xf>
    <xf numFmtId="0" fontId="55" fillId="6" borderId="0" xfId="0" applyFont="1" applyFill="1" applyAlignment="1">
      <alignment vertical="center"/>
    </xf>
    <xf numFmtId="0" fontId="58" fillId="6" borderId="0" xfId="0" applyFont="1" applyFill="1" applyAlignment="1">
      <alignment vertical="center" wrapText="1"/>
    </xf>
    <xf numFmtId="0" fontId="9" fillId="4" borderId="68" xfId="0" applyFont="1" applyFill="1" applyBorder="1" applyAlignment="1">
      <alignment horizontal="center" vertical="center" wrapText="1"/>
    </xf>
    <xf numFmtId="164" fontId="10" fillId="4" borderId="53" xfId="0" applyNumberFormat="1" applyFont="1" applyFill="1" applyBorder="1" applyAlignment="1">
      <alignment vertical="center" wrapText="1"/>
    </xf>
    <xf numFmtId="1" fontId="10" fillId="4" borderId="52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55" fillId="6" borderId="0" xfId="0" applyFont="1" applyFill="1" applyBorder="1" applyAlignment="1">
      <alignment vertical="center"/>
    </xf>
    <xf numFmtId="0" fontId="48" fillId="5" borderId="0" xfId="0" applyFont="1" applyFill="1" applyAlignment="1">
      <alignment vertical="center"/>
    </xf>
    <xf numFmtId="0" fontId="0" fillId="0" borderId="0" xfId="0"/>
    <xf numFmtId="0" fontId="57" fillId="5" borderId="0" xfId="0" applyFont="1" applyFill="1"/>
    <xf numFmtId="0" fontId="9" fillId="4" borderId="0" xfId="0" applyFont="1" applyFill="1" applyAlignment="1">
      <alignment horizontal="left" vertical="center" wrapText="1" indent="1"/>
    </xf>
    <xf numFmtId="165" fontId="9" fillId="3" borderId="17" xfId="0" applyNumberFormat="1" applyFont="1" applyFill="1" applyBorder="1" applyAlignment="1">
      <alignment horizontal="right" vertical="center" wrapText="1" indent="1"/>
    </xf>
    <xf numFmtId="0" fontId="10" fillId="4" borderId="16" xfId="0" applyFont="1" applyFill="1" applyBorder="1" applyAlignment="1">
      <alignment vertical="center" wrapText="1"/>
    </xf>
    <xf numFmtId="164" fontId="10" fillId="4" borderId="24" xfId="0" applyNumberFormat="1" applyFont="1" applyFill="1" applyBorder="1" applyAlignment="1">
      <alignment horizontal="right" vertical="center" wrapText="1" indent="1"/>
    </xf>
    <xf numFmtId="165" fontId="10" fillId="3" borderId="15" xfId="0" applyNumberFormat="1" applyFont="1" applyFill="1" applyBorder="1" applyAlignment="1">
      <alignment horizontal="right" vertical="center" wrapText="1" indent="1"/>
    </xf>
    <xf numFmtId="3" fontId="9" fillId="4" borderId="16" xfId="0" applyNumberFormat="1" applyFont="1" applyFill="1" applyBorder="1" applyAlignment="1">
      <alignment horizontal="right" vertical="center" wrapText="1" indent="1"/>
    </xf>
    <xf numFmtId="164" fontId="10" fillId="4" borderId="25" xfId="0" applyNumberFormat="1" applyFont="1" applyFill="1" applyBorder="1" applyAlignment="1">
      <alignment horizontal="right" vertical="center" wrapText="1" indent="1"/>
    </xf>
    <xf numFmtId="165" fontId="10" fillId="3" borderId="17" xfId="0" applyNumberFormat="1" applyFont="1" applyFill="1" applyBorder="1" applyAlignment="1">
      <alignment horizontal="right" vertical="center" wrapText="1" indent="1"/>
    </xf>
    <xf numFmtId="3" fontId="10" fillId="4" borderId="0" xfId="0" applyNumberFormat="1" applyFont="1" applyFill="1" applyAlignment="1">
      <alignment horizontal="right" vertical="center" wrapText="1" indent="1"/>
    </xf>
    <xf numFmtId="1" fontId="10" fillId="3" borderId="28" xfId="0" applyNumberFormat="1" applyFont="1" applyFill="1" applyBorder="1" applyAlignment="1">
      <alignment horizontal="right" vertical="center" wrapText="1" indent="1"/>
    </xf>
    <xf numFmtId="1" fontId="10" fillId="4" borderId="26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4" borderId="29" xfId="0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right" vertical="center" wrapText="1" indent="1"/>
    </xf>
    <xf numFmtId="49" fontId="10" fillId="4" borderId="29" xfId="0" applyNumberFormat="1" applyFont="1" applyFill="1" applyBorder="1" applyAlignment="1">
      <alignment horizontal="right" vertical="center" wrapText="1" indent="1"/>
    </xf>
    <xf numFmtId="0" fontId="15" fillId="4" borderId="31" xfId="0" applyFont="1" applyFill="1" applyBorder="1" applyAlignment="1">
      <alignment horizontal="center" vertical="center" wrapText="1"/>
    </xf>
    <xf numFmtId="164" fontId="9" fillId="4" borderId="25" xfId="0" applyNumberFormat="1" applyFont="1" applyFill="1" applyBorder="1" applyAlignment="1">
      <alignment horizontal="right" vertical="center" wrapText="1" indent="1"/>
    </xf>
    <xf numFmtId="3" fontId="9" fillId="4" borderId="25" xfId="0" applyNumberFormat="1" applyFont="1" applyFill="1" applyBorder="1" applyAlignment="1">
      <alignment horizontal="right" vertical="center" wrapText="1" indent="1"/>
    </xf>
    <xf numFmtId="0" fontId="10" fillId="4" borderId="19" xfId="0" applyFont="1" applyFill="1" applyBorder="1" applyAlignment="1">
      <alignment vertical="center" wrapText="1"/>
    </xf>
    <xf numFmtId="165" fontId="10" fillId="4" borderId="70" xfId="2" applyNumberFormat="1" applyFont="1" applyFill="1" applyBorder="1" applyAlignment="1">
      <alignment horizontal="right" vertical="center" wrapText="1" indent="1"/>
    </xf>
    <xf numFmtId="165" fontId="10" fillId="4" borderId="19" xfId="2" applyNumberFormat="1" applyFont="1" applyFill="1" applyBorder="1" applyAlignment="1">
      <alignment horizontal="right" vertical="center" wrapText="1" indent="1"/>
    </xf>
    <xf numFmtId="3" fontId="10" fillId="4" borderId="70" xfId="0" applyNumberFormat="1" applyFont="1" applyFill="1" applyBorder="1" applyAlignment="1">
      <alignment horizontal="right" vertical="center" wrapText="1" indent="1"/>
    </xf>
    <xf numFmtId="165" fontId="10" fillId="4" borderId="27" xfId="2" applyNumberFormat="1" applyFont="1" applyFill="1" applyBorder="1" applyAlignment="1">
      <alignment horizontal="right" vertical="center" wrapText="1" indent="1"/>
    </xf>
    <xf numFmtId="165" fontId="10" fillId="4" borderId="26" xfId="2" applyNumberFormat="1" applyFont="1" applyFill="1" applyBorder="1" applyAlignment="1">
      <alignment horizontal="right" vertical="center" wrapText="1" indent="1"/>
    </xf>
    <xf numFmtId="1" fontId="10" fillId="4" borderId="27" xfId="0" applyNumberFormat="1" applyFont="1" applyFill="1" applyBorder="1" applyAlignment="1">
      <alignment horizontal="right" vertical="center" wrapText="1" indent="1"/>
    </xf>
    <xf numFmtId="0" fontId="59" fillId="4" borderId="4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59" fillId="4" borderId="45" xfId="0" applyFont="1" applyFill="1" applyBorder="1" applyAlignment="1">
      <alignment horizontal="center" vertical="center" wrapText="1"/>
    </xf>
    <xf numFmtId="164" fontId="9" fillId="4" borderId="47" xfId="0" applyNumberFormat="1" applyFont="1" applyFill="1" applyBorder="1" applyAlignment="1">
      <alignment horizontal="right" vertical="center" wrapText="1" indent="1"/>
    </xf>
    <xf numFmtId="164" fontId="10" fillId="4" borderId="0" xfId="0" applyNumberFormat="1" applyFont="1" applyFill="1" applyAlignment="1">
      <alignment horizontal="right" vertical="center" wrapText="1" indent="1"/>
    </xf>
    <xf numFmtId="0" fontId="10" fillId="4" borderId="64" xfId="0" applyFont="1" applyFill="1" applyBorder="1" applyAlignment="1">
      <alignment vertical="center" wrapText="1"/>
    </xf>
    <xf numFmtId="49" fontId="10" fillId="4" borderId="56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60" fillId="2" borderId="0" xfId="0" applyFont="1" applyFill="1" applyAlignment="1">
      <alignment vertical="center" wrapText="1"/>
    </xf>
    <xf numFmtId="0" fontId="60" fillId="2" borderId="26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0" fontId="48" fillId="5" borderId="0" xfId="0" applyFont="1" applyFill="1" applyAlignment="1">
      <alignment horizontal="left" vertical="center"/>
    </xf>
    <xf numFmtId="0" fontId="38" fillId="0" borderId="0" xfId="7" applyFont="1" applyFill="1"/>
    <xf numFmtId="0" fontId="3" fillId="0" borderId="0" xfId="0" applyFont="1" applyBorder="1" applyAlignment="1">
      <alignment vertical="center"/>
    </xf>
    <xf numFmtId="0" fontId="40" fillId="0" borderId="0" xfId="0" applyFont="1"/>
    <xf numFmtId="0" fontId="2" fillId="0" borderId="0" xfId="0" applyFont="1" applyFill="1" applyBorder="1"/>
    <xf numFmtId="0" fontId="29" fillId="0" borderId="0" xfId="0" applyFont="1" applyAlignment="1">
      <alignment vertical="center"/>
    </xf>
    <xf numFmtId="0" fontId="9" fillId="4" borderId="8" xfId="0" applyFont="1" applyFill="1" applyBorder="1" applyAlignment="1">
      <alignment vertical="center" wrapText="1"/>
    </xf>
    <xf numFmtId="49" fontId="15" fillId="4" borderId="77" xfId="0" applyNumberFormat="1" applyFont="1" applyFill="1" applyBorder="1" applyAlignment="1">
      <alignment horizontal="center" vertical="center" wrapText="1"/>
    </xf>
    <xf numFmtId="49" fontId="15" fillId="4" borderId="78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164" fontId="15" fillId="4" borderId="79" xfId="0" applyNumberFormat="1" applyFont="1" applyFill="1" applyBorder="1" applyAlignment="1">
      <alignment horizontal="right" vertical="center" wrapText="1" indent="1"/>
    </xf>
    <xf numFmtId="164" fontId="15" fillId="4" borderId="8" xfId="0" applyNumberFormat="1" applyFont="1" applyFill="1" applyBorder="1" applyAlignment="1">
      <alignment horizontal="right" vertical="center" wrapText="1" indent="1"/>
    </xf>
    <xf numFmtId="1" fontId="15" fillId="4" borderId="8" xfId="0" applyNumberFormat="1" applyFont="1" applyFill="1" applyBorder="1" applyAlignment="1">
      <alignment horizontal="right" vertical="center" wrapText="1" indent="1"/>
    </xf>
    <xf numFmtId="1" fontId="15" fillId="4" borderId="2" xfId="0" applyNumberFormat="1" applyFont="1" applyFill="1" applyBorder="1" applyAlignment="1">
      <alignment horizontal="right" vertical="center" wrapText="1" indent="1"/>
    </xf>
    <xf numFmtId="1" fontId="15" fillId="4" borderId="0" xfId="0" applyNumberFormat="1" applyFont="1" applyFill="1" applyAlignment="1">
      <alignment horizontal="right" vertical="center" wrapText="1" indent="1"/>
    </xf>
    <xf numFmtId="164" fontId="15" fillId="4" borderId="80" xfId="0" applyNumberFormat="1" applyFont="1" applyFill="1" applyBorder="1" applyAlignment="1">
      <alignment horizontal="right" vertical="center" wrapText="1" indent="1"/>
    </xf>
    <xf numFmtId="164" fontId="15" fillId="4" borderId="0" xfId="0" applyNumberFormat="1" applyFont="1" applyFill="1" applyAlignment="1">
      <alignment horizontal="right" vertical="center" wrapText="1" indent="1"/>
    </xf>
    <xf numFmtId="0" fontId="18" fillId="4" borderId="26" xfId="0" applyFont="1" applyFill="1" applyBorder="1" applyAlignment="1">
      <alignment vertical="center" wrapText="1"/>
    </xf>
    <xf numFmtId="164" fontId="18" fillId="4" borderId="81" xfId="0" applyNumberFormat="1" applyFont="1" applyFill="1" applyBorder="1" applyAlignment="1">
      <alignment horizontal="right" vertical="center" wrapText="1" indent="1"/>
    </xf>
    <xf numFmtId="164" fontId="18" fillId="4" borderId="26" xfId="0" applyNumberFormat="1" applyFont="1" applyFill="1" applyBorder="1" applyAlignment="1">
      <alignment horizontal="right" vertical="center" wrapText="1" indent="1"/>
    </xf>
    <xf numFmtId="164" fontId="18" fillId="4" borderId="27" xfId="0" applyNumberFormat="1" applyFont="1" applyFill="1" applyBorder="1" applyAlignment="1">
      <alignment horizontal="right" vertical="center" wrapText="1" indent="1"/>
    </xf>
    <xf numFmtId="0" fontId="57" fillId="5" borderId="0" xfId="0" applyFont="1" applyFill="1" applyBorder="1" applyAlignment="1">
      <alignment horizontal="left"/>
    </xf>
    <xf numFmtId="49" fontId="18" fillId="4" borderId="76" xfId="0" applyNumberFormat="1" applyFont="1" applyFill="1" applyBorder="1" applyAlignment="1">
      <alignment horizontal="center" vertical="center" wrapText="1"/>
    </xf>
    <xf numFmtId="49" fontId="18" fillId="4" borderId="7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8" fillId="5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3" fillId="0" borderId="0" xfId="0" applyFont="1"/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64" fontId="9" fillId="4" borderId="56" xfId="0" applyNumberFormat="1" applyFont="1" applyFill="1" applyBorder="1" applyAlignment="1">
      <alignment horizontal="right" vertical="center" wrapText="1"/>
    </xf>
    <xf numFmtId="0" fontId="59" fillId="4" borderId="0" xfId="0" applyFont="1" applyFill="1" applyBorder="1" applyAlignment="1">
      <alignment vertical="center" wrapText="1"/>
    </xf>
    <xf numFmtId="0" fontId="64" fillId="4" borderId="0" xfId="0" applyFont="1" applyFill="1" applyBorder="1" applyAlignment="1">
      <alignment vertical="center" wrapText="1"/>
    </xf>
    <xf numFmtId="164" fontId="9" fillId="4" borderId="0" xfId="2" applyNumberFormat="1" applyFont="1" applyFill="1" applyBorder="1" applyAlignment="1">
      <alignment horizontal="right" vertical="center" wrapText="1"/>
    </xf>
    <xf numFmtId="0" fontId="59" fillId="4" borderId="3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6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9" fillId="4" borderId="0" xfId="0" applyFont="1" applyFill="1" applyAlignment="1">
      <alignment vertical="center" wrapText="1"/>
    </xf>
    <xf numFmtId="0" fontId="38" fillId="0" borderId="0" xfId="0" applyFont="1" applyBorder="1"/>
    <xf numFmtId="3" fontId="10" fillId="4" borderId="64" xfId="2" applyNumberFormat="1" applyFont="1" applyFill="1" applyBorder="1" applyAlignment="1">
      <alignment vertical="center" wrapText="1"/>
    </xf>
    <xf numFmtId="1" fontId="10" fillId="4" borderId="64" xfId="0" applyNumberFormat="1" applyFont="1" applyFill="1" applyBorder="1" applyAlignment="1">
      <alignment horizontal="right" vertical="center" wrapText="1"/>
    </xf>
    <xf numFmtId="0" fontId="59" fillId="4" borderId="62" xfId="0" applyFont="1" applyFill="1" applyBorder="1" applyAlignment="1">
      <alignment horizontal="center" vertical="center" wrapText="1"/>
    </xf>
    <xf numFmtId="0" fontId="59" fillId="4" borderId="58" xfId="0" applyFont="1" applyFill="1" applyBorder="1" applyAlignment="1">
      <alignment horizontal="center" vertical="center" wrapText="1"/>
    </xf>
    <xf numFmtId="3" fontId="9" fillId="4" borderId="56" xfId="0" applyNumberFormat="1" applyFont="1" applyFill="1" applyBorder="1" applyAlignment="1">
      <alignment horizontal="right" vertical="center" wrapText="1"/>
    </xf>
    <xf numFmtId="3" fontId="10" fillId="4" borderId="65" xfId="2" applyNumberFormat="1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164" fontId="9" fillId="4" borderId="25" xfId="0" applyNumberFormat="1" applyFont="1" applyFill="1" applyBorder="1" applyAlignment="1">
      <alignment horizontal="right" vertical="center" wrapText="1"/>
    </xf>
    <xf numFmtId="164" fontId="9" fillId="4" borderId="17" xfId="0" applyNumberFormat="1" applyFont="1" applyFill="1" applyBorder="1" applyAlignment="1">
      <alignment horizontal="right" vertical="center" wrapText="1"/>
    </xf>
    <xf numFmtId="164" fontId="9" fillId="4" borderId="25" xfId="0" applyNumberFormat="1" applyFont="1" applyFill="1" applyBorder="1" applyAlignment="1">
      <alignment horizontal="right" vertical="top" wrapText="1"/>
    </xf>
    <xf numFmtId="164" fontId="9" fillId="4" borderId="17" xfId="0" applyNumberFormat="1" applyFont="1" applyFill="1" applyBorder="1" applyAlignment="1">
      <alignment horizontal="right" vertical="top" wrapText="1"/>
    </xf>
    <xf numFmtId="0" fontId="10" fillId="4" borderId="28" xfId="0" applyFont="1" applyFill="1" applyBorder="1" applyAlignment="1">
      <alignment vertical="center" wrapText="1"/>
    </xf>
    <xf numFmtId="164" fontId="10" fillId="4" borderId="27" xfId="2" applyNumberFormat="1" applyFont="1" applyFill="1" applyBorder="1" applyAlignment="1">
      <alignment vertical="center" wrapText="1"/>
    </xf>
    <xf numFmtId="164" fontId="10" fillId="4" borderId="28" xfId="2" applyNumberFormat="1" applyFont="1" applyFill="1" applyBorder="1" applyAlignment="1">
      <alignment vertical="center" wrapText="1"/>
    </xf>
    <xf numFmtId="3" fontId="10" fillId="4" borderId="26" xfId="2" applyNumberFormat="1" applyFont="1" applyFill="1" applyBorder="1" applyAlignment="1">
      <alignment horizontal="right" vertical="center" wrapText="1"/>
    </xf>
    <xf numFmtId="1" fontId="10" fillId="4" borderId="26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164" fontId="5" fillId="4" borderId="84" xfId="0" applyNumberFormat="1" applyFont="1" applyFill="1" applyBorder="1" applyAlignment="1">
      <alignment horizontal="right" vertical="center" wrapText="1" indent="1"/>
    </xf>
    <xf numFmtId="164" fontId="2" fillId="4" borderId="84" xfId="0" applyNumberFormat="1" applyFont="1" applyFill="1" applyBorder="1" applyAlignment="1">
      <alignment horizontal="right" vertical="center" wrapText="1" indent="1"/>
    </xf>
    <xf numFmtId="3" fontId="5" fillId="4" borderId="0" xfId="0" applyNumberFormat="1" applyFont="1" applyFill="1" applyAlignment="1">
      <alignment horizontal="right" vertical="center" wrapText="1" indent="1"/>
    </xf>
    <xf numFmtId="0" fontId="22" fillId="4" borderId="16" xfId="0" applyFont="1" applyFill="1" applyBorder="1" applyAlignment="1">
      <alignment horizontal="right" vertical="center" wrapText="1"/>
    </xf>
    <xf numFmtId="0" fontId="22" fillId="4" borderId="16" xfId="0" applyFont="1" applyFill="1" applyBorder="1" applyAlignment="1">
      <alignment horizontal="left" vertical="center" wrapText="1"/>
    </xf>
    <xf numFmtId="164" fontId="22" fillId="4" borderId="37" xfId="0" applyNumberFormat="1" applyFont="1" applyFill="1" applyBorder="1" applyAlignment="1">
      <alignment horizontal="right" vertical="center" wrapText="1" indent="1"/>
    </xf>
    <xf numFmtId="164" fontId="23" fillId="4" borderId="37" xfId="0" applyNumberFormat="1" applyFont="1" applyFill="1" applyBorder="1" applyAlignment="1">
      <alignment horizontal="right" vertical="center" wrapText="1" indent="1"/>
    </xf>
    <xf numFmtId="3" fontId="22" fillId="4" borderId="16" xfId="0" applyNumberFormat="1" applyFont="1" applyFill="1" applyBorder="1" applyAlignment="1">
      <alignment horizontal="right" vertical="center" wrapText="1" indent="1"/>
    </xf>
    <xf numFmtId="0" fontId="22" fillId="4" borderId="16" xfId="0" applyFont="1" applyFill="1" applyBorder="1" applyAlignment="1">
      <alignment vertical="center" wrapText="1"/>
    </xf>
    <xf numFmtId="164" fontId="5" fillId="4" borderId="84" xfId="2" applyNumberFormat="1" applyFont="1" applyFill="1" applyBorder="1" applyAlignment="1">
      <alignment horizontal="right" vertical="center" wrapText="1" indent="1"/>
    </xf>
    <xf numFmtId="0" fontId="22" fillId="4" borderId="26" xfId="0" applyFont="1" applyFill="1" applyBorder="1" applyAlignment="1">
      <alignment horizontal="right" vertical="center" wrapText="1"/>
    </xf>
    <xf numFmtId="0" fontId="22" fillId="4" borderId="26" xfId="0" applyFont="1" applyFill="1" applyBorder="1" applyAlignment="1">
      <alignment vertical="center" wrapText="1"/>
    </xf>
    <xf numFmtId="164" fontId="22" fillId="4" borderId="85" xfId="2" applyNumberFormat="1" applyFont="1" applyFill="1" applyBorder="1" applyAlignment="1">
      <alignment horizontal="right" vertical="center" wrapText="1" indent="1"/>
    </xf>
    <xf numFmtId="1" fontId="22" fillId="4" borderId="26" xfId="0" applyNumberFormat="1" applyFont="1" applyFill="1" applyBorder="1" applyAlignment="1">
      <alignment horizontal="right" vertical="center" wrapText="1" indent="1"/>
    </xf>
    <xf numFmtId="0" fontId="5" fillId="4" borderId="16" xfId="0" applyFont="1" applyFill="1" applyBorder="1" applyAlignment="1">
      <alignment horizontal="center" vertical="center" wrapText="1"/>
    </xf>
    <xf numFmtId="49" fontId="22" fillId="4" borderId="37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vertical="top" wrapText="1"/>
    </xf>
    <xf numFmtId="0" fontId="23" fillId="4" borderId="25" xfId="0" applyFont="1" applyFill="1" applyBorder="1" applyAlignment="1">
      <alignment horizontal="right" vertical="center" wrapText="1" indent="1"/>
    </xf>
    <xf numFmtId="0" fontId="23" fillId="3" borderId="17" xfId="0" applyFont="1" applyFill="1" applyBorder="1" applyAlignment="1">
      <alignment horizontal="right" vertical="center" wrapText="1" indent="1"/>
    </xf>
    <xf numFmtId="0" fontId="23" fillId="4" borderId="0" xfId="0" applyFont="1" applyFill="1" applyAlignment="1">
      <alignment horizontal="right" vertical="center" wrapText="1" indent="1"/>
    </xf>
    <xf numFmtId="0" fontId="2" fillId="4" borderId="0" xfId="0" applyFont="1" applyFill="1" applyAlignment="1">
      <alignment vertical="top" wrapText="1"/>
    </xf>
    <xf numFmtId="164" fontId="5" fillId="4" borderId="25" xfId="0" applyNumberFormat="1" applyFont="1" applyFill="1" applyBorder="1" applyAlignment="1">
      <alignment horizontal="right" vertical="center" wrapText="1" indent="1"/>
    </xf>
    <xf numFmtId="165" fontId="2" fillId="3" borderId="17" xfId="0" applyNumberFormat="1" applyFont="1" applyFill="1" applyBorder="1" applyAlignment="1">
      <alignment horizontal="right" vertical="center" wrapText="1" indent="1"/>
    </xf>
    <xf numFmtId="1" fontId="2" fillId="4" borderId="0" xfId="0" applyNumberFormat="1" applyFont="1" applyFill="1" applyAlignment="1">
      <alignment horizontal="right" vertical="center" wrapText="1" indent="1"/>
    </xf>
    <xf numFmtId="164" fontId="23" fillId="4" borderId="25" xfId="0" applyNumberFormat="1" applyFont="1" applyFill="1" applyBorder="1" applyAlignment="1">
      <alignment horizontal="right" vertical="center" wrapText="1" indent="1"/>
    </xf>
    <xf numFmtId="1" fontId="23" fillId="3" borderId="17" xfId="0" applyNumberFormat="1" applyFont="1" applyFill="1" applyBorder="1" applyAlignment="1">
      <alignment horizontal="right" vertical="center" wrapText="1" indent="1"/>
    </xf>
    <xf numFmtId="164" fontId="2" fillId="4" borderId="25" xfId="0" applyNumberFormat="1" applyFont="1" applyFill="1" applyBorder="1" applyAlignment="1">
      <alignment horizontal="right" vertical="center" wrapText="1" indent="1"/>
    </xf>
    <xf numFmtId="0" fontId="2" fillId="3" borderId="17" xfId="0" applyFont="1" applyFill="1" applyBorder="1" applyAlignment="1">
      <alignment horizontal="right" vertical="center" wrapText="1" indent="1"/>
    </xf>
    <xf numFmtId="0" fontId="5" fillId="3" borderId="17" xfId="0" applyFont="1" applyFill="1" applyBorder="1" applyAlignment="1">
      <alignment horizontal="right" vertical="center" wrapText="1" indent="1"/>
    </xf>
    <xf numFmtId="0" fontId="23" fillId="4" borderId="19" xfId="0" applyFont="1" applyFill="1" applyBorder="1" applyAlignment="1">
      <alignment vertical="top" wrapText="1"/>
    </xf>
    <xf numFmtId="164" fontId="23" fillId="4" borderId="70" xfId="0" applyNumberFormat="1" applyFont="1" applyFill="1" applyBorder="1" applyAlignment="1">
      <alignment horizontal="right" vertical="center" wrapText="1" indent="1"/>
    </xf>
    <xf numFmtId="0" fontId="23" fillId="3" borderId="18" xfId="0" applyFont="1" applyFill="1" applyBorder="1" applyAlignment="1">
      <alignment horizontal="right" vertical="center" wrapText="1" indent="1"/>
    </xf>
    <xf numFmtId="1" fontId="2" fillId="4" borderId="19" xfId="0" applyNumberFormat="1" applyFont="1" applyFill="1" applyBorder="1" applyAlignment="1">
      <alignment horizontal="right" vertical="center" wrapText="1" indent="1"/>
    </xf>
    <xf numFmtId="0" fontId="23" fillId="4" borderId="21" xfId="0" applyFont="1" applyFill="1" applyBorder="1" applyAlignment="1">
      <alignment vertical="top" wrapText="1"/>
    </xf>
    <xf numFmtId="164" fontId="23" fillId="4" borderId="38" xfId="0" applyNumberFormat="1" applyFont="1" applyFill="1" applyBorder="1" applyAlignment="1">
      <alignment horizontal="right" vertical="center" wrapText="1" indent="1"/>
    </xf>
    <xf numFmtId="0" fontId="23" fillId="3" borderId="20" xfId="0" applyFont="1" applyFill="1" applyBorder="1" applyAlignment="1">
      <alignment horizontal="right" vertical="center" wrapText="1" indent="1"/>
    </xf>
    <xf numFmtId="0" fontId="23" fillId="4" borderId="21" xfId="0" applyFont="1" applyFill="1" applyBorder="1" applyAlignment="1">
      <alignment horizontal="right" vertical="center" wrapText="1" inden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19" fillId="4" borderId="91" xfId="7" applyNumberFormat="1" applyFont="1" applyFill="1" applyBorder="1" applyAlignment="1">
      <alignment horizontal="center" vertical="center" wrapText="1"/>
    </xf>
    <xf numFmtId="0" fontId="19" fillId="4" borderId="92" xfId="7" applyFont="1" applyFill="1" applyBorder="1" applyAlignment="1">
      <alignment horizontal="center" vertical="center" wrapText="1"/>
    </xf>
    <xf numFmtId="14" fontId="19" fillId="4" borderId="92" xfId="7" applyNumberFormat="1" applyFont="1" applyFill="1" applyBorder="1" applyAlignment="1">
      <alignment horizontal="center" vertical="center" wrapText="1"/>
    </xf>
    <xf numFmtId="0" fontId="67" fillId="4" borderId="49" xfId="7" applyFont="1" applyFill="1" applyBorder="1" applyAlignment="1">
      <alignment vertical="center" wrapText="1"/>
    </xf>
    <xf numFmtId="49" fontId="67" fillId="4" borderId="0" xfId="7" applyNumberFormat="1" applyFont="1" applyFill="1" applyAlignment="1">
      <alignment horizontal="left" wrapText="1"/>
    </xf>
    <xf numFmtId="49" fontId="47" fillId="4" borderId="0" xfId="7" applyNumberFormat="1" applyFont="1" applyFill="1" applyAlignment="1">
      <alignment horizontal="left" vertical="center" wrapText="1"/>
    </xf>
    <xf numFmtId="49" fontId="68" fillId="4" borderId="0" xfId="7" applyNumberFormat="1" applyFont="1" applyFill="1" applyAlignment="1">
      <alignment horizontal="left" vertical="center" wrapText="1"/>
    </xf>
    <xf numFmtId="49" fontId="47" fillId="4" borderId="6" xfId="7" applyNumberFormat="1" applyFont="1" applyFill="1" applyBorder="1" applyAlignment="1">
      <alignment horizontal="left" vertical="center" wrapText="1"/>
    </xf>
    <xf numFmtId="49" fontId="67" fillId="4" borderId="8" xfId="7" applyNumberFormat="1" applyFont="1" applyFill="1" applyBorder="1" applyAlignment="1">
      <alignment horizontal="left" vertical="center" wrapText="1"/>
    </xf>
    <xf numFmtId="0" fontId="47" fillId="4" borderId="0" xfId="7" applyFont="1" applyFill="1" applyAlignment="1">
      <alignment horizontal="left" vertical="center" wrapText="1"/>
    </xf>
    <xf numFmtId="0" fontId="19" fillId="4" borderId="97" xfId="7" applyFont="1" applyFill="1" applyBorder="1" applyAlignment="1">
      <alignment horizontal="left" vertical="center" wrapText="1"/>
    </xf>
    <xf numFmtId="0" fontId="40" fillId="0" borderId="0" xfId="7" applyFont="1" applyFill="1"/>
    <xf numFmtId="0" fontId="24" fillId="0" borderId="0" xfId="7" applyFill="1" applyAlignment="1">
      <alignment horizontal="right" vertical="center"/>
    </xf>
    <xf numFmtId="0" fontId="48" fillId="5" borderId="43" xfId="7" applyFont="1" applyFill="1" applyBorder="1" applyAlignment="1">
      <alignment vertical="center"/>
    </xf>
    <xf numFmtId="0" fontId="19" fillId="4" borderId="100" xfId="7" applyFont="1" applyFill="1" applyBorder="1" applyAlignment="1">
      <alignment horizontal="center" vertical="center" wrapText="1"/>
    </xf>
    <xf numFmtId="0" fontId="71" fillId="0" borderId="0" xfId="7" applyFont="1"/>
    <xf numFmtId="0" fontId="48" fillId="5" borderId="0" xfId="7" applyFont="1" applyFill="1" applyAlignment="1">
      <alignment vertical="center"/>
    </xf>
    <xf numFmtId="49" fontId="47" fillId="4" borderId="0" xfId="7" applyNumberFormat="1" applyFont="1" applyFill="1" applyAlignment="1">
      <alignment horizontal="left" vertical="center" wrapText="1" indent="1"/>
    </xf>
    <xf numFmtId="164" fontId="7" fillId="4" borderId="80" xfId="7" applyNumberFormat="1" applyFont="1" applyFill="1" applyBorder="1" applyAlignment="1">
      <alignment horizontal="right" vertical="center" wrapText="1" indent="1"/>
    </xf>
    <xf numFmtId="164" fontId="7" fillId="4" borderId="0" xfId="7" applyNumberFormat="1" applyFont="1" applyFill="1" applyAlignment="1">
      <alignment horizontal="right" vertical="center" wrapText="1" indent="1"/>
    </xf>
    <xf numFmtId="164" fontId="7" fillId="4" borderId="6" xfId="7" applyNumberFormat="1" applyFont="1" applyFill="1" applyBorder="1" applyAlignment="1">
      <alignment horizontal="right" vertical="center" wrapText="1" indent="1"/>
    </xf>
    <xf numFmtId="164" fontId="7" fillId="3" borderId="6" xfId="7" applyNumberFormat="1" applyFont="1" applyFill="1" applyBorder="1" applyAlignment="1">
      <alignment horizontal="right" vertical="center" wrapText="1" indent="1"/>
    </xf>
    <xf numFmtId="49" fontId="47" fillId="4" borderId="99" xfId="7" applyNumberFormat="1" applyFont="1" applyFill="1" applyBorder="1" applyAlignment="1">
      <alignment horizontal="left" vertical="center" wrapText="1" indent="1"/>
    </xf>
    <xf numFmtId="164" fontId="19" fillId="4" borderId="98" xfId="7" applyNumberFormat="1" applyFont="1" applyFill="1" applyBorder="1" applyAlignment="1">
      <alignment horizontal="right" vertical="center" wrapText="1" indent="1"/>
    </xf>
    <xf numFmtId="164" fontId="19" fillId="4" borderId="97" xfId="7" applyNumberFormat="1" applyFont="1" applyFill="1" applyBorder="1" applyAlignment="1">
      <alignment horizontal="right" vertical="center" wrapText="1" indent="1"/>
    </xf>
    <xf numFmtId="164" fontId="19" fillId="3" borderId="97" xfId="7" applyNumberFormat="1" applyFont="1" applyFill="1" applyBorder="1" applyAlignment="1">
      <alignment horizontal="right" vertical="center" wrapText="1" indent="1"/>
    </xf>
    <xf numFmtId="49" fontId="10" fillId="4" borderId="24" xfId="0" applyNumberFormat="1" applyFont="1" applyFill="1" applyBorder="1" applyAlignment="1">
      <alignment horizontal="right" vertical="center" wrapText="1" indent="1"/>
    </xf>
    <xf numFmtId="49" fontId="10" fillId="4" borderId="16" xfId="0" applyNumberFormat="1" applyFont="1" applyFill="1" applyBorder="1" applyAlignment="1">
      <alignment horizontal="right" vertical="center" wrapText="1" indent="1"/>
    </xf>
    <xf numFmtId="165" fontId="9" fillId="4" borderId="25" xfId="0" applyNumberFormat="1" applyFont="1" applyFill="1" applyBorder="1" applyAlignment="1">
      <alignment horizontal="right" vertical="center" wrapText="1" indent="1"/>
    </xf>
    <xf numFmtId="165" fontId="9" fillId="4" borderId="0" xfId="0" applyNumberFormat="1" applyFont="1" applyFill="1" applyAlignment="1">
      <alignment horizontal="right" vertical="center" wrapText="1" indent="1"/>
    </xf>
    <xf numFmtId="165" fontId="9" fillId="4" borderId="38" xfId="0" applyNumberFormat="1" applyFont="1" applyFill="1" applyBorder="1" applyAlignment="1">
      <alignment horizontal="right" vertical="center" wrapText="1" indent="1"/>
    </xf>
    <xf numFmtId="165" fontId="9" fillId="4" borderId="21" xfId="0" applyNumberFormat="1" applyFont="1" applyFill="1" applyBorder="1" applyAlignment="1">
      <alignment horizontal="right" vertical="center" wrapText="1" indent="1"/>
    </xf>
    <xf numFmtId="0" fontId="22" fillId="4" borderId="16" xfId="0" applyFont="1" applyFill="1" applyBorder="1" applyAlignment="1">
      <alignment horizontal="center" vertical="center" wrapText="1"/>
    </xf>
    <xf numFmtId="0" fontId="23" fillId="4" borderId="0" xfId="3" applyFont="1" applyFill="1" applyAlignment="1">
      <alignment horizontal="left" vertical="center" wrapText="1"/>
    </xf>
    <xf numFmtId="0" fontId="2" fillId="4" borderId="0" xfId="3" applyFont="1" applyFill="1" applyAlignment="1">
      <alignment horizontal="left" vertical="center" wrapText="1" indent="1"/>
    </xf>
    <xf numFmtId="0" fontId="2" fillId="4" borderId="16" xfId="3" applyFont="1" applyFill="1" applyBorder="1" applyAlignment="1">
      <alignment horizontal="left" vertical="center" wrapText="1" indent="1"/>
    </xf>
    <xf numFmtId="0" fontId="23" fillId="4" borderId="0" xfId="3" applyFont="1" applyFill="1" applyAlignment="1">
      <alignment vertical="center" wrapText="1"/>
    </xf>
    <xf numFmtId="0" fontId="2" fillId="4" borderId="0" xfId="3" applyFont="1" applyFill="1" applyAlignment="1">
      <alignment horizontal="left" vertical="center" wrapText="1" indent="2"/>
    </xf>
    <xf numFmtId="0" fontId="23" fillId="4" borderId="26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9" fillId="4" borderId="24" xfId="3" applyFont="1" applyFill="1" applyBorder="1" applyAlignment="1">
      <alignment horizontal="center" vertical="center" wrapText="1"/>
    </xf>
    <xf numFmtId="0" fontId="49" fillId="4" borderId="16" xfId="3" applyFont="1" applyFill="1" applyBorder="1" applyAlignment="1">
      <alignment horizontal="center" vertical="center" wrapText="1"/>
    </xf>
    <xf numFmtId="0" fontId="49" fillId="4" borderId="15" xfId="3" applyFont="1" applyFill="1" applyBorder="1" applyAlignment="1">
      <alignment horizontal="center" vertical="center" wrapText="1"/>
    </xf>
    <xf numFmtId="0" fontId="48" fillId="5" borderId="0" xfId="0" applyFont="1" applyFill="1" applyAlignment="1">
      <alignment vertical="center" wrapText="1"/>
    </xf>
    <xf numFmtId="0" fontId="9" fillId="4" borderId="16" xfId="7" applyFont="1" applyFill="1" applyBorder="1" applyAlignment="1">
      <alignment horizontal="right" vertical="center" wrapText="1" indent="1"/>
    </xf>
    <xf numFmtId="0" fontId="9" fillId="4" borderId="15" xfId="7" applyFont="1" applyFill="1" applyBorder="1" applyAlignment="1">
      <alignment horizontal="right" vertical="center" wrapText="1" indent="1"/>
    </xf>
    <xf numFmtId="0" fontId="9" fillId="4" borderId="24" xfId="7" applyFont="1" applyFill="1" applyBorder="1" applyAlignment="1">
      <alignment horizontal="right" vertical="center" wrapText="1" indent="1"/>
    </xf>
    <xf numFmtId="0" fontId="7" fillId="0" borderId="0" xfId="7" applyFont="1"/>
    <xf numFmtId="0" fontId="59" fillId="4" borderId="0" xfId="7" applyFont="1" applyFill="1" applyAlignment="1">
      <alignment vertical="center" wrapText="1"/>
    </xf>
    <xf numFmtId="164" fontId="59" fillId="4" borderId="0" xfId="7" applyNumberFormat="1" applyFont="1" applyFill="1" applyAlignment="1">
      <alignment horizontal="right" vertical="center" wrapText="1" indent="1"/>
    </xf>
    <xf numFmtId="165" fontId="59" fillId="3" borderId="17" xfId="7" applyNumberFormat="1" applyFont="1" applyFill="1" applyBorder="1" applyAlignment="1">
      <alignment horizontal="right" vertical="center" wrapText="1" indent="1"/>
    </xf>
    <xf numFmtId="164" fontId="59" fillId="4" borderId="25" xfId="7" applyNumberFormat="1" applyFont="1" applyFill="1" applyBorder="1" applyAlignment="1">
      <alignment horizontal="right" vertical="center" wrapText="1" indent="1"/>
    </xf>
    <xf numFmtId="1" fontId="59" fillId="4" borderId="0" xfId="7" applyNumberFormat="1" applyFont="1" applyFill="1" applyAlignment="1">
      <alignment horizontal="right" vertical="center" wrapText="1" indent="1"/>
    </xf>
    <xf numFmtId="0" fontId="64" fillId="4" borderId="16" xfId="7" applyFont="1" applyFill="1" applyBorder="1" applyAlignment="1">
      <alignment horizontal="left" vertical="center" wrapText="1"/>
    </xf>
    <xf numFmtId="164" fontId="64" fillId="4" borderId="16" xfId="7" applyNumberFormat="1" applyFont="1" applyFill="1" applyBorder="1" applyAlignment="1">
      <alignment horizontal="right" vertical="center" wrapText="1" indent="1"/>
    </xf>
    <xf numFmtId="165" fontId="64" fillId="3" borderId="15" xfId="7" applyNumberFormat="1" applyFont="1" applyFill="1" applyBorder="1" applyAlignment="1">
      <alignment horizontal="right" vertical="center" wrapText="1" indent="1"/>
    </xf>
    <xf numFmtId="164" fontId="64" fillId="4" borderId="24" xfId="7" applyNumberFormat="1" applyFont="1" applyFill="1" applyBorder="1" applyAlignment="1">
      <alignment horizontal="right" vertical="center" wrapText="1" indent="1"/>
    </xf>
    <xf numFmtId="1" fontId="64" fillId="4" borderId="16" xfId="7" applyNumberFormat="1" applyFont="1" applyFill="1" applyBorder="1" applyAlignment="1">
      <alignment horizontal="right" vertical="center" wrapText="1" indent="1"/>
    </xf>
    <xf numFmtId="0" fontId="59" fillId="4" borderId="0" xfId="7" applyFont="1" applyFill="1" applyAlignment="1">
      <alignment horizontal="left" vertical="center" wrapText="1"/>
    </xf>
    <xf numFmtId="0" fontId="64" fillId="4" borderId="21" xfId="7" applyFont="1" applyFill="1" applyBorder="1" applyAlignment="1">
      <alignment horizontal="left" vertical="center" wrapText="1"/>
    </xf>
    <xf numFmtId="164" fontId="64" fillId="4" borderId="21" xfId="7" applyNumberFormat="1" applyFont="1" applyFill="1" applyBorder="1" applyAlignment="1">
      <alignment horizontal="right" vertical="center" wrapText="1" indent="1"/>
    </xf>
    <xf numFmtId="1" fontId="64" fillId="3" borderId="20" xfId="7" applyNumberFormat="1" applyFont="1" applyFill="1" applyBorder="1" applyAlignment="1">
      <alignment horizontal="right" vertical="center" wrapText="1" indent="1"/>
    </xf>
    <xf numFmtId="164" fontId="64" fillId="4" borderId="38" xfId="7" applyNumberFormat="1" applyFont="1" applyFill="1" applyBorder="1" applyAlignment="1">
      <alignment horizontal="right" vertical="center" wrapText="1" indent="1"/>
    </xf>
    <xf numFmtId="1" fontId="64" fillId="4" borderId="21" xfId="7" applyNumberFormat="1" applyFont="1" applyFill="1" applyBorder="1" applyAlignment="1">
      <alignment horizontal="right" vertical="center" wrapText="1" indent="1"/>
    </xf>
    <xf numFmtId="49" fontId="24" fillId="0" borderId="0" xfId="7" applyNumberFormat="1"/>
    <xf numFmtId="0" fontId="76" fillId="0" borderId="0" xfId="7" applyFont="1"/>
    <xf numFmtId="0" fontId="77" fillId="0" borderId="0" xfId="7" applyFont="1"/>
    <xf numFmtId="0" fontId="5" fillId="4" borderId="0" xfId="3" applyFont="1" applyFill="1" applyAlignment="1">
      <alignment horizontal="left" vertical="center" wrapText="1"/>
    </xf>
    <xf numFmtId="0" fontId="22" fillId="4" borderId="26" xfId="3" applyFont="1" applyFill="1" applyBorder="1" applyAlignment="1">
      <alignment horizontal="left" vertical="center" wrapText="1"/>
    </xf>
    <xf numFmtId="0" fontId="22" fillId="4" borderId="0" xfId="3" applyFont="1" applyFill="1" applyAlignment="1">
      <alignment vertical="center" wrapText="1"/>
    </xf>
    <xf numFmtId="0" fontId="5" fillId="4" borderId="0" xfId="3" applyFont="1" applyFill="1" applyAlignment="1">
      <alignment horizontal="left" vertical="center" wrapText="1" indent="1"/>
    </xf>
    <xf numFmtId="0" fontId="5" fillId="4" borderId="16" xfId="3" applyFont="1" applyFill="1" applyBorder="1" applyAlignment="1">
      <alignment horizontal="left" vertical="center" wrapText="1" indent="1"/>
    </xf>
    <xf numFmtId="0" fontId="5" fillId="4" borderId="21" xfId="3" applyFont="1" applyFill="1" applyBorder="1" applyAlignment="1">
      <alignment horizontal="left" vertical="center" wrapText="1" indent="1"/>
    </xf>
    <xf numFmtId="0" fontId="74" fillId="4" borderId="108" xfId="7" applyFont="1" applyFill="1" applyBorder="1" applyAlignment="1"/>
    <xf numFmtId="0" fontId="0" fillId="0" borderId="108" xfId="0" applyBorder="1" applyAlignment="1"/>
    <xf numFmtId="49" fontId="9" fillId="4" borderId="0" xfId="0" applyNumberFormat="1" applyFont="1" applyFill="1" applyAlignment="1">
      <alignment vertical="center" wrapText="1"/>
    </xf>
    <xf numFmtId="49" fontId="15" fillId="4" borderId="16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164" fontId="10" fillId="4" borderId="25" xfId="0" applyNumberFormat="1" applyFont="1" applyFill="1" applyBorder="1" applyAlignment="1">
      <alignment horizontal="right" vertical="top" wrapText="1" indent="1"/>
    </xf>
    <xf numFmtId="164" fontId="10" fillId="4" borderId="0" xfId="0" applyNumberFormat="1" applyFont="1" applyFill="1" applyAlignment="1">
      <alignment horizontal="right" vertical="top" wrapText="1" indent="1"/>
    </xf>
    <xf numFmtId="3" fontId="10" fillId="4" borderId="0" xfId="0" applyNumberFormat="1" applyFont="1" applyFill="1" applyAlignment="1">
      <alignment horizontal="right" vertical="top" wrapText="1" indent="1"/>
    </xf>
    <xf numFmtId="49" fontId="10" fillId="4" borderId="19" xfId="0" applyNumberFormat="1" applyFont="1" applyFill="1" applyBorder="1" applyAlignment="1">
      <alignment vertical="top" wrapText="1"/>
    </xf>
    <xf numFmtId="0" fontId="10" fillId="4" borderId="19" xfId="0" applyFont="1" applyFill="1" applyBorder="1" applyAlignment="1">
      <alignment vertical="top" wrapText="1"/>
    </xf>
    <xf numFmtId="164" fontId="10" fillId="4" borderId="70" xfId="0" applyNumberFormat="1" applyFont="1" applyFill="1" applyBorder="1" applyAlignment="1">
      <alignment horizontal="right" vertical="top" wrapText="1" indent="1"/>
    </xf>
    <xf numFmtId="164" fontId="10" fillId="4" borderId="19" xfId="0" applyNumberFormat="1" applyFont="1" applyFill="1" applyBorder="1" applyAlignment="1">
      <alignment horizontal="right" vertical="top" wrapText="1" indent="1"/>
    </xf>
    <xf numFmtId="3" fontId="10" fillId="4" borderId="19" xfId="0" applyNumberFormat="1" applyFont="1" applyFill="1" applyBorder="1" applyAlignment="1">
      <alignment horizontal="right" vertical="top" wrapText="1" indent="1"/>
    </xf>
    <xf numFmtId="49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164" fontId="9" fillId="4" borderId="25" xfId="0" applyNumberFormat="1" applyFont="1" applyFill="1" applyBorder="1" applyAlignment="1">
      <alignment horizontal="right" vertical="top" wrapText="1" indent="1"/>
    </xf>
    <xf numFmtId="164" fontId="9" fillId="4" borderId="0" xfId="0" applyNumberFormat="1" applyFont="1" applyFill="1" applyAlignment="1">
      <alignment horizontal="right" vertical="top" wrapText="1" indent="1"/>
    </xf>
    <xf numFmtId="3" fontId="9" fillId="4" borderId="0" xfId="0" applyNumberFormat="1" applyFont="1" applyFill="1" applyAlignment="1">
      <alignment horizontal="right" vertical="top" wrapText="1" indent="1"/>
    </xf>
    <xf numFmtId="49" fontId="9" fillId="4" borderId="16" xfId="0" applyNumberFormat="1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164" fontId="9" fillId="4" borderId="24" xfId="0" applyNumberFormat="1" applyFont="1" applyFill="1" applyBorder="1" applyAlignment="1">
      <alignment horizontal="right" vertical="top" wrapText="1" indent="1"/>
    </xf>
    <xf numFmtId="164" fontId="9" fillId="4" borderId="16" xfId="0" applyNumberFormat="1" applyFont="1" applyFill="1" applyBorder="1" applyAlignment="1">
      <alignment horizontal="right" vertical="top" wrapText="1" indent="1"/>
    </xf>
    <xf numFmtId="3" fontId="10" fillId="4" borderId="16" xfId="0" applyNumberFormat="1" applyFont="1" applyFill="1" applyBorder="1" applyAlignment="1">
      <alignment horizontal="right" vertical="top" wrapText="1" indent="1"/>
    </xf>
    <xf numFmtId="49" fontId="9" fillId="4" borderId="21" xfId="0" applyNumberFormat="1" applyFont="1" applyFill="1" applyBorder="1" applyAlignment="1">
      <alignment vertical="top" wrapText="1"/>
    </xf>
    <xf numFmtId="0" fontId="9" fillId="4" borderId="21" xfId="0" applyFont="1" applyFill="1" applyBorder="1" applyAlignment="1">
      <alignment vertical="top" wrapText="1"/>
    </xf>
    <xf numFmtId="164" fontId="9" fillId="4" borderId="38" xfId="0" applyNumberFormat="1" applyFont="1" applyFill="1" applyBorder="1" applyAlignment="1">
      <alignment horizontal="right" vertical="top" wrapText="1" indent="1"/>
    </xf>
    <xf numFmtId="164" fontId="9" fillId="4" borderId="21" xfId="0" applyNumberFormat="1" applyFont="1" applyFill="1" applyBorder="1" applyAlignment="1">
      <alignment horizontal="right" vertical="top" wrapText="1" indent="1"/>
    </xf>
    <xf numFmtId="3" fontId="9" fillId="4" borderId="21" xfId="0" applyNumberFormat="1" applyFont="1" applyFill="1" applyBorder="1" applyAlignment="1">
      <alignment horizontal="right" vertical="top" wrapText="1" indent="1"/>
    </xf>
    <xf numFmtId="0" fontId="16" fillId="0" borderId="0" xfId="0" applyFont="1"/>
    <xf numFmtId="49" fontId="22" fillId="4" borderId="24" xfId="0" applyNumberFormat="1" applyFont="1" applyFill="1" applyBorder="1" applyAlignment="1">
      <alignment horizontal="center" vertical="center" wrapText="1"/>
    </xf>
    <xf numFmtId="49" fontId="22" fillId="4" borderId="16" xfId="0" applyNumberFormat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center" wrapText="1"/>
    </xf>
    <xf numFmtId="164" fontId="22" fillId="4" borderId="25" xfId="0" applyNumberFormat="1" applyFont="1" applyFill="1" applyBorder="1" applyAlignment="1">
      <alignment horizontal="right" vertical="center" wrapText="1" indent="1"/>
    </xf>
    <xf numFmtId="164" fontId="22" fillId="4" borderId="0" xfId="0" applyNumberFormat="1" applyFont="1" applyFill="1" applyAlignment="1">
      <alignment horizontal="right" vertical="center" wrapText="1" indent="1"/>
    </xf>
    <xf numFmtId="3" fontId="22" fillId="4" borderId="0" xfId="0" applyNumberFormat="1" applyFont="1" applyFill="1" applyAlignment="1">
      <alignment horizontal="right" vertical="center" wrapText="1" indent="1"/>
    </xf>
    <xf numFmtId="0" fontId="5" fillId="4" borderId="0" xfId="0" applyFont="1" applyFill="1" applyAlignment="1">
      <alignment horizontal="left" vertical="center" wrapText="1"/>
    </xf>
    <xf numFmtId="164" fontId="5" fillId="4" borderId="0" xfId="0" applyNumberFormat="1" applyFont="1" applyFill="1" applyAlignment="1">
      <alignment horizontal="right" vertical="center" wrapText="1" indent="1"/>
    </xf>
    <xf numFmtId="0" fontId="5" fillId="4" borderId="21" xfId="0" applyFont="1" applyFill="1" applyBorder="1" applyAlignment="1">
      <alignment horizontal="left" vertical="center" wrapText="1"/>
    </xf>
    <xf numFmtId="164" fontId="5" fillId="4" borderId="38" xfId="2" applyNumberFormat="1" applyFont="1" applyFill="1" applyBorder="1" applyAlignment="1">
      <alignment horizontal="right" vertical="center" wrapText="1" indent="1"/>
    </xf>
    <xf numFmtId="164" fontId="5" fillId="4" borderId="21" xfId="2" applyNumberFormat="1" applyFont="1" applyFill="1" applyBorder="1" applyAlignment="1">
      <alignment horizontal="right" vertical="center" wrapText="1" indent="1"/>
    </xf>
    <xf numFmtId="3" fontId="5" fillId="4" borderId="21" xfId="0" applyNumberFormat="1" applyFont="1" applyFill="1" applyBorder="1" applyAlignment="1">
      <alignment horizontal="right" vertical="center" wrapText="1" indent="1"/>
    </xf>
    <xf numFmtId="0" fontId="48" fillId="5" borderId="0" xfId="7" applyFont="1" applyFill="1" applyAlignment="1">
      <alignment horizontal="right" vertical="center"/>
    </xf>
    <xf numFmtId="49" fontId="22" fillId="4" borderId="24" xfId="0" applyNumberFormat="1" applyFont="1" applyFill="1" applyBorder="1" applyAlignment="1">
      <alignment horizontal="right" vertical="center" wrapText="1" indent="1"/>
    </xf>
    <xf numFmtId="49" fontId="22" fillId="4" borderId="16" xfId="0" applyNumberFormat="1" applyFont="1" applyFill="1" applyBorder="1" applyAlignment="1">
      <alignment horizontal="right" vertical="center" wrapText="1" indent="1"/>
    </xf>
    <xf numFmtId="0" fontId="22" fillId="4" borderId="19" xfId="0" applyFont="1" applyFill="1" applyBorder="1" applyAlignment="1">
      <alignment horizontal="left" vertical="center" wrapText="1"/>
    </xf>
    <xf numFmtId="164" fontId="22" fillId="4" borderId="70" xfId="0" applyNumberFormat="1" applyFont="1" applyFill="1" applyBorder="1" applyAlignment="1">
      <alignment horizontal="right" vertical="center" wrapText="1" indent="1"/>
    </xf>
    <xf numFmtId="164" fontId="22" fillId="4" borderId="19" xfId="0" applyNumberFormat="1" applyFont="1" applyFill="1" applyBorder="1" applyAlignment="1">
      <alignment horizontal="right" vertical="center" wrapText="1" indent="1"/>
    </xf>
    <xf numFmtId="3" fontId="22" fillId="4" borderId="19" xfId="0" applyNumberFormat="1" applyFont="1" applyFill="1" applyBorder="1" applyAlignment="1">
      <alignment horizontal="right" vertical="center" wrapText="1" indent="1"/>
    </xf>
    <xf numFmtId="0" fontId="22" fillId="3" borderId="16" xfId="0" applyFont="1" applyFill="1" applyBorder="1" applyAlignment="1">
      <alignment horizontal="left" vertical="center" wrapText="1"/>
    </xf>
    <xf numFmtId="166" fontId="22" fillId="3" borderId="24" xfId="2" applyNumberFormat="1" applyFont="1" applyFill="1" applyBorder="1" applyAlignment="1">
      <alignment horizontal="right" vertical="center" wrapText="1" indent="1"/>
    </xf>
    <xf numFmtId="166" fontId="22" fillId="3" borderId="16" xfId="2" applyNumberFormat="1" applyFont="1" applyFill="1" applyBorder="1" applyAlignment="1">
      <alignment horizontal="right" vertical="center" wrapText="1" indent="1"/>
    </xf>
    <xf numFmtId="3" fontId="22" fillId="3" borderId="16" xfId="0" applyNumberFormat="1" applyFont="1" applyFill="1" applyBorder="1" applyAlignment="1">
      <alignment horizontal="right" vertical="center" wrapText="1" indent="1"/>
    </xf>
    <xf numFmtId="0" fontId="22" fillId="3" borderId="21" xfId="0" applyFont="1" applyFill="1" applyBorder="1" applyAlignment="1">
      <alignment horizontal="left" vertical="center" wrapText="1"/>
    </xf>
    <xf numFmtId="166" fontId="22" fillId="3" borderId="38" xfId="2" applyNumberFormat="1" applyFont="1" applyFill="1" applyBorder="1" applyAlignment="1">
      <alignment horizontal="right" vertical="center" wrapText="1" indent="1"/>
    </xf>
    <xf numFmtId="166" fontId="22" fillId="3" borderId="21" xfId="2" applyNumberFormat="1" applyFont="1" applyFill="1" applyBorder="1" applyAlignment="1">
      <alignment horizontal="right" vertical="center" wrapText="1" indent="1"/>
    </xf>
    <xf numFmtId="3" fontId="22" fillId="3" borderId="21" xfId="0" applyNumberFormat="1" applyFont="1" applyFill="1" applyBorder="1" applyAlignment="1">
      <alignment horizontal="right" vertical="center" wrapText="1" indent="1"/>
    </xf>
    <xf numFmtId="166" fontId="10" fillId="4" borderId="27" xfId="2" applyNumberFormat="1" applyFont="1" applyFill="1" applyBorder="1" applyAlignment="1">
      <alignment horizontal="right" vertical="center" wrapText="1" indent="1"/>
    </xf>
    <xf numFmtId="166" fontId="10" fillId="4" borderId="26" xfId="2" applyNumberFormat="1" applyFont="1" applyFill="1" applyBorder="1" applyAlignment="1">
      <alignment horizontal="right" vertical="center" wrapText="1" indent="1"/>
    </xf>
    <xf numFmtId="0" fontId="48" fillId="5" borderId="0" xfId="0" applyFont="1" applyFill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56" fillId="5" borderId="0" xfId="0" applyFont="1" applyFill="1" applyBorder="1" applyAlignment="1">
      <alignment vertical="center" wrapText="1"/>
    </xf>
    <xf numFmtId="0" fontId="53" fillId="5" borderId="0" xfId="0" applyFont="1" applyFill="1" applyBorder="1" applyAlignment="1">
      <alignment horizontal="right" vertical="center"/>
    </xf>
    <xf numFmtId="49" fontId="10" fillId="4" borderId="57" xfId="0" applyNumberFormat="1" applyFont="1" applyFill="1" applyBorder="1" applyAlignment="1">
      <alignment horizontal="center" vertical="center" wrapText="1"/>
    </xf>
    <xf numFmtId="49" fontId="10" fillId="4" borderId="55" xfId="0" applyNumberFormat="1" applyFont="1" applyFill="1" applyBorder="1" applyAlignment="1">
      <alignment horizontal="center" vertical="center" wrapText="1"/>
    </xf>
    <xf numFmtId="164" fontId="9" fillId="4" borderId="63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>
      <alignment horizontal="right" vertical="center" wrapText="1"/>
    </xf>
    <xf numFmtId="164" fontId="12" fillId="4" borderId="63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Alignment="1">
      <alignment horizontal="right" vertical="center" wrapText="1"/>
    </xf>
    <xf numFmtId="0" fontId="58" fillId="6" borderId="0" xfId="0" applyFont="1" applyFill="1" applyBorder="1" applyAlignment="1">
      <alignment vertical="center" wrapText="1"/>
    </xf>
    <xf numFmtId="165" fontId="9" fillId="3" borderId="56" xfId="0" applyNumberFormat="1" applyFont="1" applyFill="1" applyBorder="1" applyAlignment="1">
      <alignment horizontal="right" vertical="center" wrapText="1" indent="1"/>
    </xf>
    <xf numFmtId="0" fontId="15" fillId="4" borderId="121" xfId="0" applyFont="1" applyFill="1" applyBorder="1" applyAlignment="1">
      <alignment horizontal="center" vertical="center" wrapText="1"/>
    </xf>
    <xf numFmtId="0" fontId="15" fillId="4" borderId="122" xfId="0" applyFont="1" applyFill="1" applyBorder="1" applyAlignment="1">
      <alignment horizontal="center" vertical="center" wrapText="1"/>
    </xf>
    <xf numFmtId="165" fontId="10" fillId="3" borderId="56" xfId="0" applyNumberFormat="1" applyFont="1" applyFill="1" applyBorder="1" applyAlignment="1">
      <alignment horizontal="right" vertical="center" wrapText="1"/>
    </xf>
    <xf numFmtId="164" fontId="9" fillId="4" borderId="63" xfId="0" applyNumberFormat="1" applyFont="1" applyFill="1" applyBorder="1" applyAlignment="1">
      <alignment horizontal="right" vertical="center" wrapText="1" indent="1"/>
    </xf>
    <xf numFmtId="164" fontId="10" fillId="4" borderId="125" xfId="0" applyNumberFormat="1" applyFont="1" applyFill="1" applyBorder="1" applyAlignment="1">
      <alignment horizontal="right" vertical="center" wrapText="1" indent="1"/>
    </xf>
    <xf numFmtId="164" fontId="10" fillId="3" borderId="126" xfId="0" applyNumberFormat="1" applyFont="1" applyFill="1" applyBorder="1" applyAlignment="1">
      <alignment horizontal="right" vertical="center" wrapText="1" indent="1"/>
    </xf>
    <xf numFmtId="165" fontId="10" fillId="3" borderId="126" xfId="0" applyNumberFormat="1" applyFont="1" applyFill="1" applyBorder="1" applyAlignment="1">
      <alignment horizontal="right" vertical="center" wrapText="1" indent="1"/>
    </xf>
    <xf numFmtId="164" fontId="10" fillId="4" borderId="127" xfId="0" applyNumberFormat="1" applyFont="1" applyFill="1" applyBorder="1" applyAlignment="1">
      <alignment horizontal="right" vertical="center" wrapText="1" indent="1"/>
    </xf>
    <xf numFmtId="1" fontId="10" fillId="3" borderId="128" xfId="0" applyNumberFormat="1" applyFont="1" applyFill="1" applyBorder="1" applyAlignment="1">
      <alignment horizontal="right" vertical="center" wrapText="1" indent="1"/>
    </xf>
    <xf numFmtId="0" fontId="15" fillId="4" borderId="129" xfId="0" applyFont="1" applyFill="1" applyBorder="1" applyAlignment="1">
      <alignment horizontal="center" vertical="center" wrapText="1"/>
    </xf>
    <xf numFmtId="164" fontId="10" fillId="4" borderId="63" xfId="0" applyNumberFormat="1" applyFont="1" applyFill="1" applyBorder="1" applyAlignment="1">
      <alignment horizontal="right" vertical="center" wrapText="1"/>
    </xf>
    <xf numFmtId="164" fontId="9" fillId="4" borderId="8" xfId="0" applyNumberFormat="1" applyFont="1" applyFill="1" applyBorder="1" applyAlignment="1">
      <alignment horizontal="right" vertical="center" wrapText="1"/>
    </xf>
    <xf numFmtId="0" fontId="64" fillId="4" borderId="73" xfId="0" applyFont="1" applyFill="1" applyBorder="1" applyAlignment="1">
      <alignment vertical="center" wrapText="1"/>
    </xf>
    <xf numFmtId="164" fontId="10" fillId="4" borderId="72" xfId="2" applyNumberFormat="1" applyFont="1" applyFill="1" applyBorder="1" applyAlignment="1">
      <alignment vertical="center" wrapText="1"/>
    </xf>
    <xf numFmtId="164" fontId="10" fillId="4" borderId="64" xfId="2" applyNumberFormat="1" applyFont="1" applyFill="1" applyBorder="1" applyAlignment="1">
      <alignment vertical="center" wrapText="1"/>
    </xf>
    <xf numFmtId="0" fontId="59" fillId="4" borderId="130" xfId="0" applyFont="1" applyFill="1" applyBorder="1" applyAlignment="1">
      <alignment horizontal="center" vertical="center" wrapText="1"/>
    </xf>
    <xf numFmtId="49" fontId="10" fillId="4" borderId="44" xfId="0" applyNumberFormat="1" applyFont="1" applyFill="1" applyBorder="1" applyAlignment="1">
      <alignment horizontal="right" vertical="center" wrapText="1" indent="1"/>
    </xf>
    <xf numFmtId="49" fontId="10" fillId="4" borderId="43" xfId="0" applyNumberFormat="1" applyFont="1" applyFill="1" applyBorder="1" applyAlignment="1">
      <alignment horizontal="right" vertical="center" wrapText="1" indent="1"/>
    </xf>
    <xf numFmtId="0" fontId="9" fillId="4" borderId="94" xfId="0" applyFont="1" applyFill="1" applyBorder="1" applyAlignment="1">
      <alignment vertical="center" wrapText="1"/>
    </xf>
    <xf numFmtId="164" fontId="9" fillId="4" borderId="101" xfId="0" applyNumberFormat="1" applyFont="1" applyFill="1" applyBorder="1" applyAlignment="1">
      <alignment horizontal="right" vertical="center" wrapText="1" indent="1"/>
    </xf>
    <xf numFmtId="164" fontId="9" fillId="4" borderId="94" xfId="0" applyNumberFormat="1" applyFont="1" applyFill="1" applyBorder="1" applyAlignment="1">
      <alignment horizontal="right" vertical="center" wrapText="1" indent="1"/>
    </xf>
    <xf numFmtId="166" fontId="10" fillId="4" borderId="47" xfId="0" applyNumberFormat="1" applyFont="1" applyFill="1" applyBorder="1" applyAlignment="1">
      <alignment horizontal="right" vertical="center" wrapText="1" indent="1"/>
    </xf>
    <xf numFmtId="166" fontId="10" fillId="4" borderId="0" xfId="0" applyNumberFormat="1" applyFont="1" applyFill="1" applyAlignment="1">
      <alignment horizontal="right" vertical="center" wrapText="1" indent="1"/>
    </xf>
    <xf numFmtId="0" fontId="10" fillId="4" borderId="97" xfId="0" applyFont="1" applyFill="1" applyBorder="1" applyAlignment="1">
      <alignment vertical="center" wrapText="1"/>
    </xf>
    <xf numFmtId="166" fontId="10" fillId="4" borderId="106" xfId="0" applyNumberFormat="1" applyFont="1" applyFill="1" applyBorder="1" applyAlignment="1">
      <alignment horizontal="right" vertical="center" wrapText="1" indent="1"/>
    </xf>
    <xf numFmtId="166" fontId="10" fillId="4" borderId="97" xfId="0" applyNumberFormat="1" applyFont="1" applyFill="1" applyBorder="1" applyAlignment="1">
      <alignment horizontal="right" vertical="center" wrapText="1" indent="1"/>
    </xf>
    <xf numFmtId="0" fontId="10" fillId="4" borderId="131" xfId="0" applyFont="1" applyFill="1" applyBorder="1" applyAlignment="1">
      <alignment vertical="center" wrapText="1"/>
    </xf>
    <xf numFmtId="164" fontId="10" fillId="4" borderId="131" xfId="2" applyNumberFormat="1" applyFont="1" applyFill="1" applyBorder="1" applyAlignment="1">
      <alignment horizontal="right" vertical="center" wrapText="1"/>
    </xf>
    <xf numFmtId="164" fontId="10" fillId="4" borderId="28" xfId="0" applyNumberFormat="1" applyFont="1" applyFill="1" applyBorder="1" applyAlignment="1">
      <alignment horizontal="right" vertical="center" wrapText="1" indent="1"/>
    </xf>
    <xf numFmtId="164" fontId="10" fillId="4" borderId="26" xfId="0" applyNumberFormat="1" applyFont="1" applyFill="1" applyBorder="1" applyAlignment="1">
      <alignment horizontal="right" vertical="center" wrapText="1" indent="1"/>
    </xf>
    <xf numFmtId="0" fontId="48" fillId="5" borderId="0" xfId="7" applyFont="1" applyFill="1" applyBorder="1" applyAlignment="1">
      <alignment horizontal="right" vertical="center"/>
    </xf>
    <xf numFmtId="0" fontId="48" fillId="5" borderId="0" xfId="7" applyFont="1" applyFill="1" applyAlignment="1">
      <alignment horizontal="left" vertical="center"/>
    </xf>
    <xf numFmtId="0" fontId="4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76" fillId="0" borderId="0" xfId="7" applyFont="1" applyFill="1"/>
    <xf numFmtId="164" fontId="73" fillId="0" borderId="0" xfId="0" applyNumberFormat="1" applyFont="1" applyFill="1" applyBorder="1" applyAlignment="1">
      <alignment horizontal="right" vertical="center" wrapText="1"/>
    </xf>
    <xf numFmtId="0" fontId="48" fillId="5" borderId="0" xfId="0" applyFont="1" applyFill="1" applyAlignment="1">
      <alignment vertical="center"/>
    </xf>
    <xf numFmtId="0" fontId="9" fillId="4" borderId="134" xfId="0" applyFont="1" applyFill="1" applyBorder="1" applyAlignment="1">
      <alignment vertical="center" wrapText="1"/>
    </xf>
    <xf numFmtId="164" fontId="12" fillId="4" borderId="135" xfId="0" applyNumberFormat="1" applyFont="1" applyFill="1" applyBorder="1" applyAlignment="1">
      <alignment horizontal="right" vertical="center" wrapText="1"/>
    </xf>
    <xf numFmtId="165" fontId="9" fillId="4" borderId="136" xfId="0" applyNumberFormat="1" applyFont="1" applyFill="1" applyBorder="1" applyAlignment="1">
      <alignment horizontal="right" vertical="center" wrapText="1"/>
    </xf>
    <xf numFmtId="3" fontId="9" fillId="4" borderId="134" xfId="0" applyNumberFormat="1" applyFont="1" applyFill="1" applyBorder="1" applyAlignment="1">
      <alignment horizontal="right" vertical="center" wrapText="1"/>
    </xf>
    <xf numFmtId="0" fontId="9" fillId="4" borderId="137" xfId="0" applyFont="1" applyFill="1" applyBorder="1" applyAlignment="1">
      <alignment vertical="center" wrapText="1"/>
    </xf>
    <xf numFmtId="164" fontId="12" fillId="4" borderId="138" xfId="0" applyNumberFormat="1" applyFont="1" applyFill="1" applyBorder="1" applyAlignment="1">
      <alignment horizontal="right" vertical="center" wrapText="1"/>
    </xf>
    <xf numFmtId="165" fontId="9" fillId="4" borderId="139" xfId="0" applyNumberFormat="1" applyFont="1" applyFill="1" applyBorder="1" applyAlignment="1">
      <alignment horizontal="right" vertical="center" wrapText="1"/>
    </xf>
    <xf numFmtId="3" fontId="9" fillId="4" borderId="137" xfId="0" applyNumberFormat="1" applyFont="1" applyFill="1" applyBorder="1" applyAlignment="1">
      <alignment horizontal="right" vertical="center" wrapText="1"/>
    </xf>
    <xf numFmtId="0" fontId="10" fillId="4" borderId="137" xfId="0" applyFont="1" applyFill="1" applyBorder="1" applyAlignment="1">
      <alignment vertical="center" wrapText="1"/>
    </xf>
    <xf numFmtId="164" fontId="10" fillId="4" borderId="138" xfId="0" applyNumberFormat="1" applyFont="1" applyFill="1" applyBorder="1" applyAlignment="1">
      <alignment horizontal="right" vertical="center" wrapText="1"/>
    </xf>
    <xf numFmtId="1" fontId="10" fillId="4" borderId="139" xfId="0" applyNumberFormat="1" applyFont="1" applyFill="1" applyBorder="1" applyAlignment="1">
      <alignment horizontal="right" vertical="center" wrapText="1"/>
    </xf>
    <xf numFmtId="3" fontId="10" fillId="4" borderId="137" xfId="0" applyNumberFormat="1" applyFont="1" applyFill="1" applyBorder="1" applyAlignment="1">
      <alignment horizontal="right" vertical="center" wrapText="1"/>
    </xf>
    <xf numFmtId="164" fontId="9" fillId="4" borderId="138" xfId="0" applyNumberFormat="1" applyFont="1" applyFill="1" applyBorder="1" applyAlignment="1">
      <alignment horizontal="right" vertical="center" wrapText="1"/>
    </xf>
    <xf numFmtId="0" fontId="9" fillId="4" borderId="140" xfId="0" applyFont="1" applyFill="1" applyBorder="1" applyAlignment="1">
      <alignment vertical="center" wrapText="1"/>
    </xf>
    <xf numFmtId="164" fontId="12" fillId="4" borderId="141" xfId="0" applyNumberFormat="1" applyFont="1" applyFill="1" applyBorder="1" applyAlignment="1">
      <alignment horizontal="right" vertical="center" wrapText="1"/>
    </xf>
    <xf numFmtId="165" fontId="9" fillId="4" borderId="142" xfId="0" applyNumberFormat="1" applyFont="1" applyFill="1" applyBorder="1" applyAlignment="1">
      <alignment horizontal="right" vertical="center" wrapText="1"/>
    </xf>
    <xf numFmtId="3" fontId="9" fillId="4" borderId="140" xfId="0" applyNumberFormat="1" applyFont="1" applyFill="1" applyBorder="1" applyAlignment="1">
      <alignment horizontal="right" vertical="center" wrapText="1"/>
    </xf>
    <xf numFmtId="0" fontId="9" fillId="4" borderId="143" xfId="0" applyFont="1" applyFill="1" applyBorder="1" applyAlignment="1">
      <alignment vertical="center" wrapText="1"/>
    </xf>
    <xf numFmtId="164" fontId="9" fillId="4" borderId="144" xfId="0" applyNumberFormat="1" applyFont="1" applyFill="1" applyBorder="1" applyAlignment="1">
      <alignment horizontal="right" vertical="center" wrapText="1"/>
    </xf>
    <xf numFmtId="165" fontId="9" fillId="4" borderId="145" xfId="0" applyNumberFormat="1" applyFont="1" applyFill="1" applyBorder="1" applyAlignment="1">
      <alignment horizontal="right" vertical="center" wrapText="1"/>
    </xf>
    <xf numFmtId="3" fontId="9" fillId="4" borderId="143" xfId="0" applyNumberFormat="1" applyFont="1" applyFill="1" applyBorder="1" applyAlignment="1">
      <alignment horizontal="right" vertical="center" wrapText="1"/>
    </xf>
    <xf numFmtId="0" fontId="10" fillId="4" borderId="143" xfId="0" applyFont="1" applyFill="1" applyBorder="1" applyAlignment="1">
      <alignment vertical="center" wrapText="1"/>
    </xf>
    <xf numFmtId="0" fontId="23" fillId="4" borderId="146" xfId="0" applyFont="1" applyFill="1" applyBorder="1" applyAlignment="1">
      <alignment horizontal="center" vertical="center" wrapText="1"/>
    </xf>
    <xf numFmtId="0" fontId="23" fillId="4" borderId="149" xfId="0" applyFont="1" applyFill="1" applyBorder="1" applyAlignment="1">
      <alignment horizontal="center" vertical="center" wrapText="1"/>
    </xf>
    <xf numFmtId="0" fontId="12" fillId="4" borderId="150" xfId="0" applyFont="1" applyFill="1" applyBorder="1" applyAlignment="1">
      <alignment horizontal="left" vertical="center" wrapText="1"/>
    </xf>
    <xf numFmtId="164" fontId="12" fillId="4" borderId="151" xfId="0" applyNumberFormat="1" applyFont="1" applyFill="1" applyBorder="1" applyAlignment="1">
      <alignment horizontal="right" vertical="center" wrapText="1" indent="1"/>
    </xf>
    <xf numFmtId="0" fontId="12" fillId="4" borderId="152" xfId="0" applyFont="1" applyFill="1" applyBorder="1" applyAlignment="1">
      <alignment horizontal="right" vertical="center" wrapText="1"/>
    </xf>
    <xf numFmtId="0" fontId="12" fillId="4" borderId="153" xfId="0" applyFont="1" applyFill="1" applyBorder="1" applyAlignment="1">
      <alignment horizontal="left" vertical="center" wrapText="1"/>
    </xf>
    <xf numFmtId="164" fontId="12" fillId="4" borderId="154" xfId="0" applyNumberFormat="1" applyFont="1" applyFill="1" applyBorder="1" applyAlignment="1">
      <alignment horizontal="right" vertical="center" wrapText="1" indent="1"/>
    </xf>
    <xf numFmtId="0" fontId="12" fillId="4" borderId="155" xfId="0" applyFont="1" applyFill="1" applyBorder="1" applyAlignment="1">
      <alignment horizontal="right" vertical="center" wrapText="1"/>
    </xf>
    <xf numFmtId="0" fontId="12" fillId="4" borderId="156" xfId="0" applyFont="1" applyFill="1" applyBorder="1" applyAlignment="1">
      <alignment horizontal="left" vertical="center" wrapText="1"/>
    </xf>
    <xf numFmtId="164" fontId="12" fillId="4" borderId="157" xfId="0" applyNumberFormat="1" applyFont="1" applyFill="1" applyBorder="1" applyAlignment="1">
      <alignment horizontal="right" vertical="center" wrapText="1" indent="1"/>
    </xf>
    <xf numFmtId="0" fontId="12" fillId="4" borderId="158" xfId="0" applyFont="1" applyFill="1" applyBorder="1" applyAlignment="1">
      <alignment horizontal="right" vertical="center" wrapText="1"/>
    </xf>
    <xf numFmtId="0" fontId="12" fillId="4" borderId="118" xfId="0" applyFont="1" applyFill="1" applyBorder="1" applyAlignment="1">
      <alignment vertical="center" wrapText="1"/>
    </xf>
    <xf numFmtId="0" fontId="12" fillId="4" borderId="159" xfId="0" applyFont="1" applyFill="1" applyBorder="1" applyAlignment="1">
      <alignment vertical="center" wrapText="1"/>
    </xf>
    <xf numFmtId="0" fontId="17" fillId="4" borderId="159" xfId="0" applyFont="1" applyFill="1" applyBorder="1" applyAlignment="1">
      <alignment horizontal="right" vertical="center" wrapText="1"/>
    </xf>
    <xf numFmtId="164" fontId="17" fillId="4" borderId="159" xfId="0" applyNumberFormat="1" applyFont="1" applyFill="1" applyBorder="1" applyAlignment="1">
      <alignment horizontal="right" vertical="center" wrapText="1" indent="1"/>
    </xf>
    <xf numFmtId="0" fontId="9" fillId="4" borderId="161" xfId="0" applyFont="1" applyFill="1" applyBorder="1" applyAlignment="1">
      <alignment vertical="center" wrapText="1"/>
    </xf>
    <xf numFmtId="164" fontId="9" fillId="4" borderId="115" xfId="0" applyNumberFormat="1" applyFont="1" applyFill="1" applyBorder="1" applyAlignment="1">
      <alignment horizontal="right" vertical="center" wrapText="1" indent="1"/>
    </xf>
    <xf numFmtId="164" fontId="9" fillId="4" borderId="161" xfId="0" applyNumberFormat="1" applyFont="1" applyFill="1" applyBorder="1" applyAlignment="1">
      <alignment horizontal="right" vertical="center" wrapText="1" indent="1"/>
    </xf>
    <xf numFmtId="164" fontId="9" fillId="4" borderId="162" xfId="0" applyNumberFormat="1" applyFont="1" applyFill="1" applyBorder="1" applyAlignment="1">
      <alignment horizontal="right" vertical="center" wrapText="1" indent="1"/>
    </xf>
    <xf numFmtId="165" fontId="9" fillId="4" borderId="161" xfId="0" applyNumberFormat="1" applyFont="1" applyFill="1" applyBorder="1" applyAlignment="1">
      <alignment horizontal="right" vertical="center" wrapText="1" indent="1"/>
    </xf>
    <xf numFmtId="0" fontId="9" fillId="4" borderId="116" xfId="0" applyFont="1" applyFill="1" applyBorder="1" applyAlignment="1">
      <alignment vertical="center" wrapText="1"/>
    </xf>
    <xf numFmtId="164" fontId="9" fillId="4" borderId="163" xfId="0" applyNumberFormat="1" applyFont="1" applyFill="1" applyBorder="1" applyAlignment="1">
      <alignment horizontal="right" vertical="center" wrapText="1" indent="1"/>
    </xf>
    <xf numFmtId="164" fontId="9" fillId="4" borderId="116" xfId="0" applyNumberFormat="1" applyFont="1" applyFill="1" applyBorder="1" applyAlignment="1">
      <alignment horizontal="right" vertical="center" wrapText="1" indent="1"/>
    </xf>
    <xf numFmtId="164" fontId="9" fillId="4" borderId="164" xfId="0" applyNumberFormat="1" applyFont="1" applyFill="1" applyBorder="1" applyAlignment="1">
      <alignment horizontal="right" vertical="center" wrapText="1" indent="1"/>
    </xf>
    <xf numFmtId="165" fontId="9" fillId="4" borderId="116" xfId="0" applyNumberFormat="1" applyFont="1" applyFill="1" applyBorder="1" applyAlignment="1">
      <alignment horizontal="right" vertical="center" wrapText="1" indent="1"/>
    </xf>
    <xf numFmtId="0" fontId="9" fillId="4" borderId="165" xfId="0" applyFont="1" applyFill="1" applyBorder="1" applyAlignment="1">
      <alignment vertical="center" wrapText="1"/>
    </xf>
    <xf numFmtId="164" fontId="9" fillId="4" borderId="166" xfId="0" applyNumberFormat="1" applyFont="1" applyFill="1" applyBorder="1" applyAlignment="1">
      <alignment horizontal="right" vertical="center" wrapText="1" indent="1"/>
    </xf>
    <xf numFmtId="164" fontId="9" fillId="4" borderId="165" xfId="0" applyNumberFormat="1" applyFont="1" applyFill="1" applyBorder="1" applyAlignment="1">
      <alignment horizontal="right" vertical="center" wrapText="1" indent="1"/>
    </xf>
    <xf numFmtId="164" fontId="9" fillId="4" borderId="167" xfId="0" applyNumberFormat="1" applyFont="1" applyFill="1" applyBorder="1" applyAlignment="1">
      <alignment horizontal="right" vertical="center" wrapText="1" indent="1"/>
    </xf>
    <xf numFmtId="165" fontId="9" fillId="4" borderId="165" xfId="0" applyNumberFormat="1" applyFont="1" applyFill="1" applyBorder="1" applyAlignment="1">
      <alignment horizontal="right" vertical="center" wrapText="1" indent="1"/>
    </xf>
    <xf numFmtId="165" fontId="10" fillId="4" borderId="26" xfId="0" applyNumberFormat="1" applyFont="1" applyFill="1" applyBorder="1" applyAlignment="1">
      <alignment horizontal="right" vertical="center" wrapText="1" indent="1"/>
    </xf>
    <xf numFmtId="0" fontId="9" fillId="4" borderId="133" xfId="0" applyFont="1" applyFill="1" applyBorder="1" applyAlignment="1">
      <alignment vertical="center" wrapText="1"/>
    </xf>
    <xf numFmtId="164" fontId="9" fillId="4" borderId="132" xfId="0" applyNumberFormat="1" applyFont="1" applyFill="1" applyBorder="1" applyAlignment="1">
      <alignment horizontal="right" vertical="center" wrapText="1" indent="1"/>
    </xf>
    <xf numFmtId="164" fontId="9" fillId="4" borderId="133" xfId="0" applyNumberFormat="1" applyFont="1" applyFill="1" applyBorder="1" applyAlignment="1">
      <alignment horizontal="right" vertical="center" wrapText="1" indent="1"/>
    </xf>
    <xf numFmtId="164" fontId="9" fillId="4" borderId="168" xfId="0" applyNumberFormat="1" applyFont="1" applyFill="1" applyBorder="1" applyAlignment="1">
      <alignment horizontal="right" vertical="center" wrapText="1" indent="1"/>
    </xf>
    <xf numFmtId="165" fontId="9" fillId="4" borderId="133" xfId="0" applyNumberFormat="1" applyFont="1" applyFill="1" applyBorder="1" applyAlignment="1">
      <alignment horizontal="right" vertical="center" wrapText="1" indent="1"/>
    </xf>
    <xf numFmtId="164" fontId="10" fillId="4" borderId="70" xfId="0" applyNumberFormat="1" applyFont="1" applyFill="1" applyBorder="1" applyAlignment="1">
      <alignment horizontal="right" vertical="center" wrapText="1" indent="1"/>
    </xf>
    <xf numFmtId="164" fontId="10" fillId="4" borderId="19" xfId="0" applyNumberFormat="1" applyFont="1" applyFill="1" applyBorder="1" applyAlignment="1">
      <alignment horizontal="right" vertical="center" wrapText="1" indent="1"/>
    </xf>
    <xf numFmtId="164" fontId="10" fillId="4" borderId="18" xfId="0" applyNumberFormat="1" applyFont="1" applyFill="1" applyBorder="1" applyAlignment="1">
      <alignment horizontal="right" vertical="center" wrapText="1" indent="1"/>
    </xf>
    <xf numFmtId="165" fontId="10" fillId="4" borderId="19" xfId="0" applyNumberFormat="1" applyFont="1" applyFill="1" applyBorder="1" applyAlignment="1">
      <alignment horizontal="right" vertical="center" wrapText="1" indent="1"/>
    </xf>
    <xf numFmtId="0" fontId="18" fillId="4" borderId="0" xfId="0" applyFont="1" applyFill="1" applyAlignment="1">
      <alignment vertical="center" wrapText="1"/>
    </xf>
    <xf numFmtId="164" fontId="15" fillId="4" borderId="47" xfId="0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Alignment="1">
      <alignment horizontal="right" vertical="center" wrapText="1"/>
    </xf>
    <xf numFmtId="164" fontId="15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3" fontId="15" fillId="3" borderId="48" xfId="0" applyNumberFormat="1" applyFont="1" applyFill="1" applyBorder="1" applyAlignment="1">
      <alignment horizontal="right" vertical="center" wrapText="1"/>
    </xf>
    <xf numFmtId="164" fontId="19" fillId="4" borderId="47" xfId="0" applyNumberFormat="1" applyFont="1" applyFill="1" applyBorder="1" applyAlignment="1">
      <alignment horizontal="right" vertical="center" wrapText="1" indent="1"/>
    </xf>
    <xf numFmtId="164" fontId="15" fillId="3" borderId="0" xfId="0" applyNumberFormat="1" applyFont="1" applyFill="1" applyAlignment="1">
      <alignment horizontal="right" vertical="center" wrapText="1" indent="1"/>
    </xf>
    <xf numFmtId="164" fontId="19" fillId="4" borderId="0" xfId="0" applyNumberFormat="1" applyFont="1" applyFill="1" applyAlignment="1">
      <alignment horizontal="right" vertical="center" wrapText="1" indent="1"/>
    </xf>
    <xf numFmtId="164" fontId="15" fillId="3" borderId="48" xfId="0" applyNumberFormat="1" applyFont="1" applyFill="1" applyBorder="1" applyAlignment="1">
      <alignment horizontal="right" vertical="center" wrapText="1" indent="1"/>
    </xf>
    <xf numFmtId="3" fontId="15" fillId="4" borderId="0" xfId="0" applyNumberFormat="1" applyFont="1" applyFill="1" applyAlignment="1">
      <alignment horizontal="right" vertical="center" wrapText="1" indent="1"/>
    </xf>
    <xf numFmtId="164" fontId="15" fillId="4" borderId="47" xfId="0" applyNumberFormat="1" applyFont="1" applyFill="1" applyBorder="1" applyAlignment="1">
      <alignment horizontal="right" vertical="center" wrapText="1" indent="1"/>
    </xf>
    <xf numFmtId="164" fontId="15" fillId="4" borderId="0" xfId="2" applyNumberFormat="1" applyFont="1" applyFill="1" applyBorder="1" applyAlignment="1">
      <alignment horizontal="right" vertical="center" wrapText="1" indent="1"/>
    </xf>
    <xf numFmtId="0" fontId="18" fillId="4" borderId="49" xfId="0" applyFont="1" applyFill="1" applyBorder="1" applyAlignment="1">
      <alignment vertical="center" wrapText="1"/>
    </xf>
    <xf numFmtId="164" fontId="18" fillId="4" borderId="50" xfId="0" applyNumberFormat="1" applyFont="1" applyFill="1" applyBorder="1" applyAlignment="1">
      <alignment horizontal="right" vertical="center" wrapText="1" indent="1"/>
    </xf>
    <xf numFmtId="164" fontId="18" fillId="3" borderId="49" xfId="0" applyNumberFormat="1" applyFont="1" applyFill="1" applyBorder="1" applyAlignment="1">
      <alignment horizontal="right" vertical="center" wrapText="1" indent="1"/>
    </xf>
    <xf numFmtId="164" fontId="18" fillId="4" borderId="49" xfId="0" applyNumberFormat="1" applyFont="1" applyFill="1" applyBorder="1" applyAlignment="1">
      <alignment horizontal="right" vertical="center" wrapText="1" indent="1"/>
    </xf>
    <xf numFmtId="164" fontId="18" fillId="3" borderId="51" xfId="0" applyNumberFormat="1" applyFont="1" applyFill="1" applyBorder="1" applyAlignment="1">
      <alignment horizontal="right" vertical="center" wrapText="1" indent="1"/>
    </xf>
    <xf numFmtId="3" fontId="18" fillId="4" borderId="49" xfId="0" applyNumberFormat="1" applyFont="1" applyFill="1" applyBorder="1" applyAlignment="1">
      <alignment horizontal="right" vertical="center" wrapText="1" indent="1"/>
    </xf>
    <xf numFmtId="164" fontId="18" fillId="4" borderId="47" xfId="0" applyNumberFormat="1" applyFont="1" applyFill="1" applyBorder="1" applyAlignment="1">
      <alignment horizontal="right" vertical="center" wrapText="1" indent="1"/>
    </xf>
    <xf numFmtId="164" fontId="18" fillId="4" borderId="0" xfId="0" applyNumberFormat="1" applyFont="1" applyFill="1" applyAlignment="1">
      <alignment horizontal="right" vertical="center" wrapText="1" indent="1"/>
    </xf>
    <xf numFmtId="0" fontId="18" fillId="4" borderId="52" xfId="0" applyFont="1" applyFill="1" applyBorder="1" applyAlignment="1">
      <alignment vertical="center" wrapText="1"/>
    </xf>
    <xf numFmtId="164" fontId="18" fillId="4" borderId="53" xfId="2" applyNumberFormat="1" applyFont="1" applyFill="1" applyBorder="1" applyAlignment="1">
      <alignment horizontal="right" vertical="center" wrapText="1" indent="1"/>
    </xf>
    <xf numFmtId="3" fontId="18" fillId="3" borderId="52" xfId="2" applyNumberFormat="1" applyFont="1" applyFill="1" applyBorder="1" applyAlignment="1">
      <alignment horizontal="right" vertical="center" wrapText="1" indent="1"/>
    </xf>
    <xf numFmtId="164" fontId="18" fillId="4" borderId="52" xfId="2" applyNumberFormat="1" applyFont="1" applyFill="1" applyBorder="1" applyAlignment="1">
      <alignment horizontal="right" vertical="center" wrapText="1" indent="1"/>
    </xf>
    <xf numFmtId="3" fontId="18" fillId="3" borderId="54" xfId="2" applyNumberFormat="1" applyFont="1" applyFill="1" applyBorder="1" applyAlignment="1">
      <alignment horizontal="right" vertical="center" wrapText="1" indent="1"/>
    </xf>
    <xf numFmtId="1" fontId="18" fillId="4" borderId="52" xfId="0" applyNumberFormat="1" applyFont="1" applyFill="1" applyBorder="1" applyAlignment="1">
      <alignment horizontal="right" vertical="center" wrapText="1" indent="1"/>
    </xf>
    <xf numFmtId="1" fontId="10" fillId="3" borderId="56" xfId="0" applyNumberFormat="1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left" vertical="center" wrapText="1"/>
    </xf>
    <xf numFmtId="165" fontId="9" fillId="3" borderId="56" xfId="0" applyNumberFormat="1" applyFont="1" applyFill="1" applyBorder="1" applyAlignment="1">
      <alignment horizontal="right" vertical="center" wrapText="1"/>
    </xf>
    <xf numFmtId="164" fontId="17" fillId="4" borderId="63" xfId="0" applyNumberFormat="1" applyFont="1" applyFill="1" applyBorder="1" applyAlignment="1">
      <alignment horizontal="right" vertical="center" wrapText="1"/>
    </xf>
    <xf numFmtId="164" fontId="10" fillId="4" borderId="123" xfId="0" applyNumberFormat="1" applyFont="1" applyFill="1" applyBorder="1" applyAlignment="1">
      <alignment horizontal="right" vertical="center" wrapText="1"/>
    </xf>
    <xf numFmtId="165" fontId="10" fillId="3" borderId="124" xfId="0" applyNumberFormat="1" applyFont="1" applyFill="1" applyBorder="1" applyAlignment="1">
      <alignment horizontal="right" vertical="center" wrapText="1"/>
    </xf>
    <xf numFmtId="3" fontId="10" fillId="4" borderId="26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164" fontId="78" fillId="4" borderId="63" xfId="0" applyNumberFormat="1" applyFont="1" applyFill="1" applyBorder="1" applyAlignment="1">
      <alignment horizontal="right" vertical="center" wrapText="1"/>
    </xf>
    <xf numFmtId="3" fontId="78" fillId="4" borderId="0" xfId="0" applyNumberFormat="1" applyFont="1" applyFill="1" applyBorder="1" applyAlignment="1">
      <alignment horizontal="right" vertical="center" wrapText="1"/>
    </xf>
    <xf numFmtId="164" fontId="78" fillId="4" borderId="0" xfId="0" applyNumberFormat="1" applyFont="1" applyFill="1" applyBorder="1" applyAlignment="1">
      <alignment horizontal="right" vertical="center" wrapText="1"/>
    </xf>
    <xf numFmtId="164" fontId="79" fillId="4" borderId="63" xfId="0" applyNumberFormat="1" applyFont="1" applyFill="1" applyBorder="1" applyAlignment="1">
      <alignment horizontal="right" vertical="center" wrapText="1"/>
    </xf>
    <xf numFmtId="164" fontId="79" fillId="4" borderId="0" xfId="0" applyNumberFormat="1" applyFont="1" applyFill="1" applyBorder="1" applyAlignment="1">
      <alignment horizontal="right" vertical="center" wrapText="1"/>
    </xf>
    <xf numFmtId="3" fontId="78" fillId="4" borderId="0" xfId="0" applyNumberFormat="1" applyFont="1" applyFill="1" applyAlignment="1">
      <alignment horizontal="right" vertical="center" wrapText="1"/>
    </xf>
    <xf numFmtId="164" fontId="80" fillId="4" borderId="74" xfId="0" applyNumberFormat="1" applyFont="1" applyFill="1" applyBorder="1" applyAlignment="1">
      <alignment horizontal="right" vertical="center" wrapText="1"/>
    </xf>
    <xf numFmtId="164" fontId="80" fillId="4" borderId="73" xfId="0" applyNumberFormat="1" applyFont="1" applyFill="1" applyBorder="1" applyAlignment="1">
      <alignment horizontal="right" vertical="center" wrapText="1"/>
    </xf>
    <xf numFmtId="3" fontId="80" fillId="4" borderId="73" xfId="0" applyNumberFormat="1" applyFont="1" applyFill="1" applyBorder="1" applyAlignment="1">
      <alignment horizontal="right" vertical="center" wrapText="1"/>
    </xf>
    <xf numFmtId="164" fontId="80" fillId="4" borderId="63" xfId="0" applyNumberFormat="1" applyFont="1" applyFill="1" applyBorder="1" applyAlignment="1">
      <alignment horizontal="right" vertical="center" wrapText="1"/>
    </xf>
    <xf numFmtId="164" fontId="80" fillId="4" borderId="0" xfId="0" applyNumberFormat="1" applyFont="1" applyFill="1" applyBorder="1" applyAlignment="1">
      <alignment horizontal="right" vertical="center" wrapText="1"/>
    </xf>
    <xf numFmtId="3" fontId="80" fillId="3" borderId="64" xfId="2" applyNumberFormat="1" applyFont="1" applyFill="1" applyBorder="1" applyAlignment="1">
      <alignment vertical="center" wrapText="1"/>
    </xf>
    <xf numFmtId="3" fontId="80" fillId="3" borderId="65" xfId="2" applyNumberFormat="1" applyFont="1" applyFill="1" applyBorder="1" applyAlignment="1">
      <alignment vertical="center" wrapText="1"/>
    </xf>
    <xf numFmtId="164" fontId="81" fillId="3" borderId="8" xfId="7" applyNumberFormat="1" applyFont="1" applyFill="1" applyBorder="1" applyAlignment="1">
      <alignment horizontal="right" vertical="center" wrapText="1" indent="1"/>
    </xf>
    <xf numFmtId="164" fontId="81" fillId="4" borderId="80" xfId="7" applyNumberFormat="1" applyFont="1" applyFill="1" applyBorder="1" applyAlignment="1">
      <alignment horizontal="right" vertical="center" wrapText="1" indent="1"/>
    </xf>
    <xf numFmtId="164" fontId="81" fillId="4" borderId="0" xfId="7" applyNumberFormat="1" applyFont="1" applyFill="1" applyAlignment="1">
      <alignment horizontal="right" vertical="center" wrapText="1" indent="1"/>
    </xf>
    <xf numFmtId="49" fontId="10" fillId="0" borderId="32" xfId="0" applyNumberFormat="1" applyFont="1" applyFill="1" applyBorder="1" applyAlignment="1">
      <alignment horizontal="right" vertical="center" wrapText="1" indent="1"/>
    </xf>
    <xf numFmtId="0" fontId="73" fillId="0" borderId="169" xfId="0" applyFont="1" applyFill="1" applyBorder="1" applyAlignment="1">
      <alignment vertical="center" wrapText="1"/>
    </xf>
    <xf numFmtId="0" fontId="72" fillId="0" borderId="170" xfId="0" applyFont="1" applyFill="1" applyBorder="1" applyAlignment="1">
      <alignment vertical="center"/>
    </xf>
    <xf numFmtId="164" fontId="81" fillId="4" borderId="101" xfId="7" applyNumberFormat="1" applyFont="1" applyFill="1" applyBorder="1" applyAlignment="1">
      <alignment horizontal="right" vertical="center" wrapText="1" indent="1"/>
    </xf>
    <xf numFmtId="164" fontId="81" fillId="4" borderId="94" xfId="7" applyNumberFormat="1" applyFont="1" applyFill="1" applyBorder="1" applyAlignment="1">
      <alignment horizontal="right" vertical="center" wrapText="1" indent="1"/>
    </xf>
    <xf numFmtId="164" fontId="81" fillId="3" borderId="94" xfId="7" applyNumberFormat="1" applyFont="1" applyFill="1" applyBorder="1" applyAlignment="1">
      <alignment horizontal="right" vertical="center" wrapText="1" indent="1"/>
    </xf>
    <xf numFmtId="164" fontId="81" fillId="3" borderId="87" xfId="7" applyNumberFormat="1" applyFont="1" applyFill="1" applyBorder="1" applyAlignment="1">
      <alignment horizontal="right" vertical="center" wrapText="1" indent="1"/>
    </xf>
    <xf numFmtId="164" fontId="7" fillId="4" borderId="47" xfId="7" applyNumberFormat="1" applyFont="1" applyFill="1" applyBorder="1" applyAlignment="1">
      <alignment horizontal="right" vertical="center" wrapText="1" indent="1"/>
    </xf>
    <xf numFmtId="164" fontId="7" fillId="3" borderId="48" xfId="7" applyNumberFormat="1" applyFont="1" applyFill="1" applyBorder="1" applyAlignment="1">
      <alignment horizontal="right" vertical="center" wrapText="1" indent="1"/>
    </xf>
    <xf numFmtId="164" fontId="19" fillId="4" borderId="106" xfId="7" applyNumberFormat="1" applyFont="1" applyFill="1" applyBorder="1" applyAlignment="1">
      <alignment horizontal="right" vertical="center" wrapText="1" indent="1"/>
    </xf>
    <xf numFmtId="164" fontId="19" fillId="3" borderId="107" xfId="7" applyNumberFormat="1" applyFont="1" applyFill="1" applyBorder="1" applyAlignment="1">
      <alignment horizontal="right" vertical="center" wrapText="1" indent="1"/>
    </xf>
    <xf numFmtId="164" fontId="81" fillId="4" borderId="50" xfId="7" applyNumberFormat="1" applyFont="1" applyFill="1" applyBorder="1" applyAlignment="1">
      <alignment horizontal="right" vertical="center" wrapText="1" indent="1"/>
    </xf>
    <xf numFmtId="164" fontId="81" fillId="4" borderId="49" xfId="7" applyNumberFormat="1" applyFont="1" applyFill="1" applyBorder="1" applyAlignment="1">
      <alignment horizontal="right" vertical="center" wrapText="1" indent="1"/>
    </xf>
    <xf numFmtId="164" fontId="81" fillId="3" borderId="51" xfId="7" applyNumberFormat="1" applyFont="1" applyFill="1" applyBorder="1" applyAlignment="1">
      <alignment horizontal="right" vertical="center" wrapText="1" indent="1"/>
    </xf>
    <xf numFmtId="164" fontId="81" fillId="3" borderId="49" xfId="7" applyNumberFormat="1" applyFont="1" applyFill="1" applyBorder="1" applyAlignment="1">
      <alignment horizontal="right" vertical="center" wrapText="1" indent="1"/>
    </xf>
    <xf numFmtId="164" fontId="81" fillId="4" borderId="93" xfId="7" applyNumberFormat="1" applyFont="1" applyFill="1" applyBorder="1" applyAlignment="1">
      <alignment horizontal="right" vertical="center" wrapText="1" indent="1"/>
    </xf>
    <xf numFmtId="164" fontId="7" fillId="4" borderId="0" xfId="7" applyNumberFormat="1" applyFont="1" applyFill="1" applyBorder="1" applyAlignment="1">
      <alignment horizontal="right" vertical="center" wrapText="1" indent="1"/>
    </xf>
    <xf numFmtId="164" fontId="7" fillId="4" borderId="95" xfId="7" applyNumberFormat="1" applyFont="1" applyFill="1" applyBorder="1" applyAlignment="1">
      <alignment horizontal="right" vertical="center" wrapText="1" indent="1"/>
    </xf>
    <xf numFmtId="164" fontId="68" fillId="4" borderId="47" xfId="7" applyNumberFormat="1" applyFont="1" applyFill="1" applyBorder="1" applyAlignment="1">
      <alignment horizontal="right" vertical="center" wrapText="1" indent="1"/>
    </xf>
    <xf numFmtId="164" fontId="68" fillId="4" borderId="0" xfId="7" applyNumberFormat="1" applyFont="1" applyFill="1" applyBorder="1" applyAlignment="1">
      <alignment horizontal="right" vertical="center" wrapText="1" indent="1"/>
    </xf>
    <xf numFmtId="164" fontId="68" fillId="3" borderId="48" xfId="7" applyNumberFormat="1" applyFont="1" applyFill="1" applyBorder="1" applyAlignment="1">
      <alignment horizontal="right" vertical="center" wrapText="1" indent="1"/>
    </xf>
    <xf numFmtId="164" fontId="68" fillId="4" borderId="95" xfId="7" applyNumberFormat="1" applyFont="1" applyFill="1" applyBorder="1" applyAlignment="1">
      <alignment horizontal="right" vertical="center" wrapText="1" indent="1"/>
    </xf>
    <xf numFmtId="164" fontId="7" fillId="4" borderId="102" xfId="7" applyNumberFormat="1" applyFont="1" applyFill="1" applyBorder="1" applyAlignment="1">
      <alignment horizontal="right" vertical="center" wrapText="1" indent="1"/>
    </xf>
    <xf numFmtId="164" fontId="7" fillId="3" borderId="103" xfId="7" applyNumberFormat="1" applyFont="1" applyFill="1" applyBorder="1" applyAlignment="1">
      <alignment horizontal="right" vertical="center" wrapText="1" indent="1"/>
    </xf>
    <xf numFmtId="164" fontId="7" fillId="4" borderId="96" xfId="7" applyNumberFormat="1" applyFont="1" applyFill="1" applyBorder="1" applyAlignment="1">
      <alignment horizontal="right" vertical="center" wrapText="1" indent="1"/>
    </xf>
    <xf numFmtId="164" fontId="81" fillId="4" borderId="104" xfId="7" applyNumberFormat="1" applyFont="1" applyFill="1" applyBorder="1" applyAlignment="1">
      <alignment horizontal="right" vertical="center" wrapText="1"/>
    </xf>
    <xf numFmtId="164" fontId="81" fillId="4" borderId="8" xfId="7" applyNumberFormat="1" applyFont="1" applyFill="1" applyBorder="1" applyAlignment="1">
      <alignment horizontal="right" vertical="center" wrapText="1"/>
    </xf>
    <xf numFmtId="164" fontId="81" fillId="3" borderId="105" xfId="7" applyNumberFormat="1" applyFont="1" applyFill="1" applyBorder="1" applyAlignment="1">
      <alignment horizontal="right" vertical="center" wrapText="1" indent="1"/>
    </xf>
    <xf numFmtId="164" fontId="81" fillId="4" borderId="79" xfId="7" applyNumberFormat="1" applyFont="1" applyFill="1" applyBorder="1" applyAlignment="1">
      <alignment horizontal="right" vertical="center" wrapText="1"/>
    </xf>
    <xf numFmtId="164" fontId="7" fillId="4" borderId="47" xfId="7" applyNumberFormat="1" applyFont="1" applyFill="1" applyBorder="1" applyAlignment="1">
      <alignment horizontal="right" vertical="center" wrapText="1"/>
    </xf>
    <xf numFmtId="164" fontId="7" fillId="4" borderId="0" xfId="7" applyNumberFormat="1" applyFont="1" applyFill="1" applyBorder="1" applyAlignment="1">
      <alignment horizontal="right" vertical="center" wrapText="1"/>
    </xf>
    <xf numFmtId="164" fontId="7" fillId="4" borderId="80" xfId="7" applyNumberFormat="1" applyFont="1" applyFill="1" applyBorder="1" applyAlignment="1">
      <alignment horizontal="right" vertical="center" wrapText="1"/>
    </xf>
    <xf numFmtId="164" fontId="47" fillId="4" borderId="47" xfId="7" applyNumberFormat="1" applyFont="1" applyFill="1" applyBorder="1" applyAlignment="1">
      <alignment horizontal="right" vertical="center" wrapText="1"/>
    </xf>
    <xf numFmtId="164" fontId="47" fillId="4" borderId="0" xfId="7" applyNumberFormat="1" applyFont="1" applyFill="1" applyBorder="1" applyAlignment="1">
      <alignment horizontal="right" vertical="center" wrapText="1"/>
    </xf>
    <xf numFmtId="164" fontId="47" fillId="4" borderId="80" xfId="7" applyNumberFormat="1" applyFont="1" applyFill="1" applyBorder="1" applyAlignment="1">
      <alignment horizontal="right" vertical="center" wrapText="1"/>
    </xf>
    <xf numFmtId="164" fontId="19" fillId="4" borderId="106" xfId="7" applyNumberFormat="1" applyFont="1" applyFill="1" applyBorder="1" applyAlignment="1">
      <alignment horizontal="right" vertical="center" wrapText="1"/>
    </xf>
    <xf numFmtId="164" fontId="19" fillId="4" borderId="97" xfId="7" applyNumberFormat="1" applyFont="1" applyFill="1" applyBorder="1" applyAlignment="1">
      <alignment horizontal="right" vertical="center" wrapText="1"/>
    </xf>
    <xf numFmtId="164" fontId="19" fillId="4" borderId="98" xfId="7" applyNumberFormat="1" applyFont="1" applyFill="1" applyBorder="1" applyAlignment="1">
      <alignment horizontal="right" vertical="center" wrapText="1"/>
    </xf>
    <xf numFmtId="4" fontId="2" fillId="4" borderId="25" xfId="3" applyNumberFormat="1" applyFont="1" applyFill="1" applyBorder="1" applyAlignment="1">
      <alignment horizontal="right" vertical="center" wrapText="1" indent="1"/>
    </xf>
    <xf numFmtId="4" fontId="2" fillId="4" borderId="0" xfId="3" applyNumberFormat="1" applyFont="1" applyFill="1" applyAlignment="1">
      <alignment horizontal="right" vertical="center" wrapText="1" indent="1"/>
    </xf>
    <xf numFmtId="4" fontId="2" fillId="4" borderId="17" xfId="3" applyNumberFormat="1" applyFont="1" applyFill="1" applyBorder="1" applyAlignment="1">
      <alignment horizontal="right" vertical="center" wrapText="1" indent="1"/>
    </xf>
    <xf numFmtId="4" fontId="2" fillId="4" borderId="24" xfId="3" applyNumberFormat="1" applyFont="1" applyFill="1" applyBorder="1" applyAlignment="1">
      <alignment horizontal="right" vertical="center" wrapText="1" indent="1"/>
    </xf>
    <xf numFmtId="4" fontId="2" fillId="4" borderId="16" xfId="3" applyNumberFormat="1" applyFont="1" applyFill="1" applyBorder="1" applyAlignment="1">
      <alignment horizontal="right" vertical="center" wrapText="1" indent="1"/>
    </xf>
    <xf numFmtId="4" fontId="2" fillId="4" borderId="15" xfId="3" applyNumberFormat="1" applyFont="1" applyFill="1" applyBorder="1" applyAlignment="1">
      <alignment horizontal="right" vertical="center" wrapText="1" indent="1"/>
    </xf>
    <xf numFmtId="4" fontId="23" fillId="4" borderId="25" xfId="3" applyNumberFormat="1" applyFont="1" applyFill="1" applyBorder="1" applyAlignment="1">
      <alignment horizontal="right" vertical="center" wrapText="1" indent="1"/>
    </xf>
    <xf numFmtId="4" fontId="23" fillId="4" borderId="0" xfId="3" applyNumberFormat="1" applyFont="1" applyFill="1" applyAlignment="1">
      <alignment horizontal="right" vertical="center" wrapText="1" indent="1"/>
    </xf>
    <xf numFmtId="4" fontId="23" fillId="4" borderId="17" xfId="3" applyNumberFormat="1" applyFont="1" applyFill="1" applyBorder="1" applyAlignment="1">
      <alignment horizontal="right" vertical="center" wrapText="1" indent="1"/>
    </xf>
    <xf numFmtId="4" fontId="23" fillId="4" borderId="27" xfId="3" applyNumberFormat="1" applyFont="1" applyFill="1" applyBorder="1" applyAlignment="1">
      <alignment horizontal="right" vertical="center" wrapText="1" indent="1"/>
    </xf>
    <xf numFmtId="4" fontId="23" fillId="4" borderId="26" xfId="3" applyNumberFormat="1" applyFont="1" applyFill="1" applyBorder="1" applyAlignment="1">
      <alignment horizontal="right" vertical="center" wrapText="1" indent="1"/>
    </xf>
    <xf numFmtId="4" fontId="23" fillId="4" borderId="28" xfId="3" applyNumberFormat="1" applyFont="1" applyFill="1" applyBorder="1" applyAlignment="1">
      <alignment horizontal="right" vertical="center" wrapText="1" indent="1"/>
    </xf>
    <xf numFmtId="4" fontId="5" fillId="4" borderId="25" xfId="3" applyNumberFormat="1" applyFont="1" applyFill="1" applyBorder="1" applyAlignment="1">
      <alignment horizontal="right" vertical="center" wrapText="1" indent="1"/>
    </xf>
    <xf numFmtId="4" fontId="5" fillId="4" borderId="0" xfId="3" applyNumberFormat="1" applyFont="1" applyFill="1" applyAlignment="1">
      <alignment horizontal="right" vertical="center" wrapText="1" indent="1"/>
    </xf>
    <xf numFmtId="4" fontId="5" fillId="4" borderId="17" xfId="3" applyNumberFormat="1" applyFont="1" applyFill="1" applyBorder="1" applyAlignment="1">
      <alignment horizontal="right" vertical="center" wrapText="1" indent="1"/>
    </xf>
    <xf numFmtId="4" fontId="22" fillId="4" borderId="27" xfId="3" applyNumberFormat="1" applyFont="1" applyFill="1" applyBorder="1" applyAlignment="1">
      <alignment horizontal="right" vertical="center" wrapText="1" indent="1"/>
    </xf>
    <xf numFmtId="4" fontId="22" fillId="4" borderId="26" xfId="3" applyNumberFormat="1" applyFont="1" applyFill="1" applyBorder="1" applyAlignment="1">
      <alignment horizontal="right" vertical="center" wrapText="1" indent="1"/>
    </xf>
    <xf numFmtId="4" fontId="22" fillId="4" borderId="28" xfId="3" applyNumberFormat="1" applyFont="1" applyFill="1" applyBorder="1" applyAlignment="1">
      <alignment horizontal="right" vertical="center" wrapText="1" indent="1"/>
    </xf>
    <xf numFmtId="4" fontId="22" fillId="4" borderId="25" xfId="3" applyNumberFormat="1" applyFont="1" applyFill="1" applyBorder="1" applyAlignment="1">
      <alignment horizontal="right" vertical="center" wrapText="1" indent="1"/>
    </xf>
    <xf numFmtId="4" fontId="22" fillId="4" borderId="0" xfId="3" applyNumberFormat="1" applyFont="1" applyFill="1" applyAlignment="1">
      <alignment horizontal="right" vertical="center" wrapText="1" indent="1"/>
    </xf>
    <xf numFmtId="4" fontId="22" fillId="4" borderId="17" xfId="3" applyNumberFormat="1" applyFont="1" applyFill="1" applyBorder="1" applyAlignment="1">
      <alignment horizontal="right" vertical="center" wrapText="1" indent="1"/>
    </xf>
    <xf numFmtId="4" fontId="5" fillId="4" borderId="24" xfId="3" applyNumberFormat="1" applyFont="1" applyFill="1" applyBorder="1" applyAlignment="1">
      <alignment horizontal="right" vertical="center" wrapText="1" indent="1"/>
    </xf>
    <xf numFmtId="4" fontId="5" fillId="4" borderId="16" xfId="3" applyNumberFormat="1" applyFont="1" applyFill="1" applyBorder="1" applyAlignment="1">
      <alignment horizontal="right" vertical="center" wrapText="1" indent="1"/>
    </xf>
    <xf numFmtId="4" fontId="5" fillId="4" borderId="15" xfId="3" applyNumberFormat="1" applyFont="1" applyFill="1" applyBorder="1" applyAlignment="1">
      <alignment horizontal="right" vertical="center" wrapText="1" indent="1"/>
    </xf>
    <xf numFmtId="4" fontId="5" fillId="4" borderId="38" xfId="3" applyNumberFormat="1" applyFont="1" applyFill="1" applyBorder="1" applyAlignment="1">
      <alignment horizontal="right" vertical="center" wrapText="1" indent="1"/>
    </xf>
    <xf numFmtId="4" fontId="5" fillId="4" borderId="21" xfId="3" applyNumberFormat="1" applyFont="1" applyFill="1" applyBorder="1" applyAlignment="1">
      <alignment horizontal="right" vertical="center" wrapText="1" indent="1"/>
    </xf>
    <xf numFmtId="4" fontId="5" fillId="4" borderId="20" xfId="3" applyNumberFormat="1" applyFont="1" applyFill="1" applyBorder="1" applyAlignment="1">
      <alignment horizontal="right" vertical="center" wrapText="1" indent="1"/>
    </xf>
    <xf numFmtId="49" fontId="23" fillId="0" borderId="0" xfId="0" applyNumberFormat="1" applyFont="1" applyAlignment="1">
      <alignment horizontal="right" vertical="center"/>
    </xf>
    <xf numFmtId="49" fontId="10" fillId="4" borderId="0" xfId="0" applyNumberFormat="1" applyFont="1" applyFill="1" applyBorder="1" applyAlignment="1">
      <alignment horizontal="right" vertical="center" wrapText="1"/>
    </xf>
    <xf numFmtId="164" fontId="7" fillId="3" borderId="0" xfId="7" applyNumberFormat="1" applyFont="1" applyFill="1" applyBorder="1" applyAlignment="1">
      <alignment horizontal="right" vertical="center" wrapText="1" indent="1"/>
    </xf>
    <xf numFmtId="164" fontId="68" fillId="3" borderId="0" xfId="7" applyNumberFormat="1" applyFont="1" applyFill="1" applyBorder="1" applyAlignment="1">
      <alignment horizontal="right" vertical="center" wrapText="1" indent="1"/>
    </xf>
    <xf numFmtId="164" fontId="7" fillId="3" borderId="97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Border="1" applyAlignment="1">
      <alignment horizontal="right" vertical="center" wrapText="1" indent="1"/>
    </xf>
    <xf numFmtId="164" fontId="81" fillId="4" borderId="0" xfId="7" applyNumberFormat="1" applyFont="1" applyFill="1" applyBorder="1" applyAlignment="1">
      <alignment horizontal="right" vertical="center" wrapText="1" indent="1"/>
    </xf>
    <xf numFmtId="164" fontId="81" fillId="3" borderId="48" xfId="7" applyNumberFormat="1" applyFont="1" applyFill="1" applyBorder="1" applyAlignment="1">
      <alignment horizontal="right" vertical="center" wrapText="1" indent="1"/>
    </xf>
    <xf numFmtId="2" fontId="7" fillId="3" borderId="48" xfId="7" applyNumberFormat="1" applyFont="1" applyFill="1" applyBorder="1" applyAlignment="1">
      <alignment horizontal="right" vertical="center" wrapText="1" indent="1"/>
    </xf>
    <xf numFmtId="164" fontId="81" fillId="4" borderId="47" xfId="7" applyNumberFormat="1" applyFont="1" applyFill="1" applyBorder="1" applyAlignment="1">
      <alignment horizontal="right" vertical="center" wrapText="1" indent="1"/>
    </xf>
    <xf numFmtId="14" fontId="19" fillId="4" borderId="171" xfId="7" applyNumberFormat="1" applyFont="1" applyFill="1" applyBorder="1" applyAlignment="1">
      <alignment horizontal="center" vertical="center" wrapText="1"/>
    </xf>
    <xf numFmtId="0" fontId="19" fillId="4" borderId="172" xfId="7" applyFont="1" applyFill="1" applyBorder="1" applyAlignment="1">
      <alignment horizontal="center" vertical="center" wrapText="1"/>
    </xf>
    <xf numFmtId="0" fontId="19" fillId="4" borderId="173" xfId="7" applyFont="1" applyFill="1" applyBorder="1" applyAlignment="1">
      <alignment horizontal="center" vertical="center" wrapText="1"/>
    </xf>
    <xf numFmtId="14" fontId="19" fillId="4" borderId="172" xfId="7" applyNumberFormat="1" applyFont="1" applyFill="1" applyBorder="1" applyAlignment="1">
      <alignment horizontal="center" vertical="center" wrapText="1"/>
    </xf>
    <xf numFmtId="49" fontId="67" fillId="4" borderId="33" xfId="7" applyNumberFormat="1" applyFont="1" applyFill="1" applyBorder="1" applyAlignment="1">
      <alignment horizontal="left" wrapText="1"/>
    </xf>
    <xf numFmtId="164" fontId="81" fillId="4" borderId="174" xfId="7" applyNumberFormat="1" applyFont="1" applyFill="1" applyBorder="1" applyAlignment="1">
      <alignment horizontal="right" vertical="center" wrapText="1" indent="1"/>
    </xf>
    <xf numFmtId="164" fontId="81" fillId="4" borderId="33" xfId="7" applyNumberFormat="1" applyFont="1" applyFill="1" applyBorder="1" applyAlignment="1">
      <alignment horizontal="right" vertical="center" wrapText="1" indent="1"/>
    </xf>
    <xf numFmtId="164" fontId="81" fillId="3" borderId="175" xfId="7" applyNumberFormat="1" applyFont="1" applyFill="1" applyBorder="1" applyAlignment="1">
      <alignment horizontal="right" vertical="center" wrapText="1" indent="1"/>
    </xf>
    <xf numFmtId="164" fontId="81" fillId="4" borderId="176" xfId="7" applyNumberFormat="1" applyFont="1" applyFill="1" applyBorder="1" applyAlignment="1">
      <alignment horizontal="right" vertical="center" wrapText="1" indent="1"/>
    </xf>
    <xf numFmtId="2" fontId="81" fillId="3" borderId="175" xfId="7" applyNumberFormat="1" applyFont="1" applyFill="1" applyBorder="1" applyAlignment="1">
      <alignment horizontal="right" vertical="center" wrapText="1" indent="1"/>
    </xf>
    <xf numFmtId="2" fontId="81" fillId="3" borderId="33" xfId="7" applyNumberFormat="1" applyFont="1" applyFill="1" applyBorder="1" applyAlignment="1">
      <alignment horizontal="right" vertical="center" wrapText="1" indent="1"/>
    </xf>
    <xf numFmtId="49" fontId="47" fillId="4" borderId="0" xfId="7" applyNumberFormat="1" applyFont="1" applyFill="1" applyBorder="1" applyAlignment="1">
      <alignment horizontal="left" vertical="center" wrapText="1" indent="1"/>
    </xf>
    <xf numFmtId="49" fontId="47" fillId="4" borderId="32" xfId="7" applyNumberFormat="1" applyFont="1" applyFill="1" applyBorder="1" applyAlignment="1">
      <alignment horizontal="left" vertical="center" wrapText="1" indent="1"/>
    </xf>
    <xf numFmtId="164" fontId="7" fillId="4" borderId="177" xfId="7" applyNumberFormat="1" applyFont="1" applyFill="1" applyBorder="1" applyAlignment="1">
      <alignment horizontal="right" vertical="center" wrapText="1" indent="1"/>
    </xf>
    <xf numFmtId="164" fontId="7" fillId="4" borderId="32" xfId="7" applyNumberFormat="1" applyFont="1" applyFill="1" applyBorder="1" applyAlignment="1">
      <alignment horizontal="right" vertical="center" wrapText="1" indent="1"/>
    </xf>
    <xf numFmtId="164" fontId="7" fillId="3" borderId="178" xfId="7" applyNumberFormat="1" applyFont="1" applyFill="1" applyBorder="1" applyAlignment="1">
      <alignment horizontal="right" vertical="center" wrapText="1" indent="1"/>
    </xf>
    <xf numFmtId="164" fontId="7" fillId="4" borderId="179" xfId="7" applyNumberFormat="1" applyFont="1" applyFill="1" applyBorder="1" applyAlignment="1">
      <alignment horizontal="right" vertical="center" wrapText="1" indent="1"/>
    </xf>
    <xf numFmtId="2" fontId="7" fillId="3" borderId="178" xfId="7" applyNumberFormat="1" applyFont="1" applyFill="1" applyBorder="1" applyAlignment="1">
      <alignment horizontal="right" vertical="center" wrapText="1" indent="1"/>
    </xf>
    <xf numFmtId="2" fontId="7" fillId="3" borderId="32" xfId="7" applyNumberFormat="1" applyFont="1" applyFill="1" applyBorder="1" applyAlignment="1">
      <alignment horizontal="right" vertical="center" wrapText="1" indent="1"/>
    </xf>
    <xf numFmtId="49" fontId="67" fillId="4" borderId="0" xfId="7" applyNumberFormat="1" applyFont="1" applyFill="1" applyBorder="1" applyAlignment="1">
      <alignment horizontal="left" wrapText="1"/>
    </xf>
    <xf numFmtId="164" fontId="81" fillId="3" borderId="0" xfId="7" applyNumberFormat="1" applyFont="1" applyFill="1" applyBorder="1" applyAlignment="1">
      <alignment horizontal="right" vertical="center" wrapText="1" indent="1"/>
    </xf>
    <xf numFmtId="164" fontId="81" fillId="3" borderId="33" xfId="7" applyNumberFormat="1" applyFont="1" applyFill="1" applyBorder="1" applyAlignment="1">
      <alignment horizontal="right" vertical="center" wrapText="1" indent="1"/>
    </xf>
    <xf numFmtId="164" fontId="7" fillId="3" borderId="32" xfId="7" applyNumberFormat="1" applyFont="1" applyFill="1" applyBorder="1" applyAlignment="1">
      <alignment horizontal="right" vertical="center" wrapText="1" indent="1"/>
    </xf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15" fillId="4" borderId="2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vertical="center"/>
    </xf>
    <xf numFmtId="0" fontId="82" fillId="4" borderId="94" xfId="7" applyFont="1" applyFill="1" applyBorder="1" applyAlignment="1">
      <alignment vertical="center" wrapText="1"/>
    </xf>
    <xf numFmtId="164" fontId="51" fillId="4" borderId="101" xfId="7" applyNumberFormat="1" applyFont="1" applyFill="1" applyBorder="1" applyAlignment="1">
      <alignment horizontal="right" vertical="center" wrapText="1" indent="1"/>
    </xf>
    <xf numFmtId="164" fontId="51" fillId="4" borderId="94" xfId="7" applyNumberFormat="1" applyFont="1" applyFill="1" applyBorder="1" applyAlignment="1">
      <alignment horizontal="right" vertical="center" wrapText="1" indent="1"/>
    </xf>
    <xf numFmtId="164" fontId="51" fillId="3" borderId="94" xfId="7" applyNumberFormat="1" applyFont="1" applyFill="1" applyBorder="1" applyAlignment="1">
      <alignment horizontal="right" vertical="center" wrapText="1" indent="1"/>
    </xf>
    <xf numFmtId="164" fontId="51" fillId="3" borderId="87" xfId="7" applyNumberFormat="1" applyFont="1" applyFill="1" applyBorder="1" applyAlignment="1">
      <alignment horizontal="right" vertical="center" wrapText="1" indent="1"/>
    </xf>
    <xf numFmtId="49" fontId="83" fillId="4" borderId="0" xfId="7" applyNumberFormat="1" applyFont="1" applyFill="1" applyAlignment="1">
      <alignment horizontal="left" vertical="center" wrapText="1" indent="2"/>
    </xf>
    <xf numFmtId="164" fontId="50" fillId="4" borderId="47" xfId="7" applyNumberFormat="1" applyFont="1" applyFill="1" applyBorder="1" applyAlignment="1">
      <alignment horizontal="right" vertical="center" wrapText="1" indent="1"/>
    </xf>
    <xf numFmtId="164" fontId="50" fillId="4" borderId="0" xfId="7" applyNumberFormat="1" applyFont="1" applyFill="1" applyAlignment="1">
      <alignment horizontal="right" vertical="center" wrapText="1" indent="1"/>
    </xf>
    <xf numFmtId="164" fontId="50" fillId="3" borderId="0" xfId="7" applyNumberFormat="1" applyFont="1" applyFill="1" applyAlignment="1">
      <alignment horizontal="right" vertical="center" wrapText="1" indent="1"/>
    </xf>
    <xf numFmtId="164" fontId="50" fillId="4" borderId="0" xfId="7" applyNumberFormat="1" applyFont="1" applyFill="1" applyBorder="1" applyAlignment="1">
      <alignment horizontal="right" vertical="center" wrapText="1" indent="1"/>
    </xf>
    <xf numFmtId="164" fontId="50" fillId="3" borderId="48" xfId="7" applyNumberFormat="1" applyFont="1" applyFill="1" applyBorder="1" applyAlignment="1">
      <alignment horizontal="right" vertical="center" wrapText="1" indent="1"/>
    </xf>
    <xf numFmtId="49" fontId="83" fillId="4" borderId="43" xfId="7" applyNumberFormat="1" applyFont="1" applyFill="1" applyBorder="1" applyAlignment="1">
      <alignment horizontal="left" vertical="center" wrapText="1" indent="2"/>
    </xf>
    <xf numFmtId="164" fontId="50" fillId="4" borderId="44" xfId="7" applyNumberFormat="1" applyFont="1" applyFill="1" applyBorder="1" applyAlignment="1">
      <alignment horizontal="right" vertical="center" wrapText="1" indent="1"/>
    </xf>
    <xf numFmtId="164" fontId="50" fillId="4" borderId="43" xfId="7" applyNumberFormat="1" applyFont="1" applyFill="1" applyBorder="1" applyAlignment="1">
      <alignment horizontal="right" vertical="center" wrapText="1" indent="1"/>
    </xf>
    <xf numFmtId="49" fontId="82" fillId="4" borderId="87" xfId="7" applyNumberFormat="1" applyFont="1" applyFill="1" applyBorder="1" applyAlignment="1">
      <alignment horizontal="left" vertical="center" wrapText="1" indent="1"/>
    </xf>
    <xf numFmtId="49" fontId="83" fillId="4" borderId="48" xfId="7" applyNumberFormat="1" applyFont="1" applyFill="1" applyBorder="1" applyAlignment="1">
      <alignment horizontal="left" vertical="center" wrapText="1" indent="2"/>
    </xf>
    <xf numFmtId="164" fontId="83" fillId="4" borderId="0" xfId="7" applyNumberFormat="1" applyFont="1" applyFill="1" applyAlignment="1">
      <alignment horizontal="right" vertical="center" wrapText="1" indent="1"/>
    </xf>
    <xf numFmtId="49" fontId="83" fillId="4" borderId="45" xfId="7" applyNumberFormat="1" applyFont="1" applyFill="1" applyBorder="1" applyAlignment="1">
      <alignment horizontal="left" vertical="center" wrapText="1" indent="2"/>
    </xf>
    <xf numFmtId="164" fontId="83" fillId="4" borderId="44" xfId="7" applyNumberFormat="1" applyFont="1" applyFill="1" applyBorder="1" applyAlignment="1">
      <alignment horizontal="right" vertical="center" wrapText="1" indent="1"/>
    </xf>
    <xf numFmtId="164" fontId="83" fillId="4" borderId="43" xfId="7" applyNumberFormat="1" applyFont="1" applyFill="1" applyBorder="1" applyAlignment="1">
      <alignment horizontal="right" vertical="center" wrapText="1" indent="1"/>
    </xf>
    <xf numFmtId="49" fontId="82" fillId="4" borderId="94" xfId="7" applyNumberFormat="1" applyFont="1" applyFill="1" applyBorder="1" applyAlignment="1">
      <alignment horizontal="left" vertical="center" wrapText="1" indent="1"/>
    </xf>
    <xf numFmtId="49" fontId="83" fillId="4" borderId="97" xfId="7" applyNumberFormat="1" applyFont="1" applyFill="1" applyBorder="1" applyAlignment="1">
      <alignment horizontal="left" vertical="center" wrapText="1" indent="2"/>
    </xf>
    <xf numFmtId="164" fontId="84" fillId="4" borderId="106" xfId="7" applyNumberFormat="1" applyFont="1" applyFill="1" applyBorder="1" applyAlignment="1">
      <alignment horizontal="right" vertical="center" wrapText="1" indent="1"/>
    </xf>
    <xf numFmtId="164" fontId="84" fillId="4" borderId="97" xfId="7" applyNumberFormat="1" applyFont="1" applyFill="1" applyBorder="1" applyAlignment="1">
      <alignment horizontal="right" vertical="center" wrapText="1" indent="1"/>
    </xf>
    <xf numFmtId="164" fontId="50" fillId="3" borderId="107" xfId="7" applyNumberFormat="1" applyFont="1" applyFill="1" applyBorder="1" applyAlignment="1">
      <alignment horizontal="right" vertical="center" wrapText="1" indent="1"/>
    </xf>
    <xf numFmtId="14" fontId="84" fillId="4" borderId="91" xfId="7" applyNumberFormat="1" applyFont="1" applyFill="1" applyBorder="1" applyAlignment="1">
      <alignment horizontal="center" vertical="center" wrapText="1"/>
    </xf>
    <xf numFmtId="0" fontId="84" fillId="4" borderId="92" xfId="7" applyFont="1" applyFill="1" applyBorder="1" applyAlignment="1">
      <alignment horizontal="center" vertical="center" wrapText="1"/>
    </xf>
    <xf numFmtId="0" fontId="84" fillId="4" borderId="100" xfId="7" applyFont="1" applyFill="1" applyBorder="1" applyAlignment="1">
      <alignment horizontal="center" vertical="center" wrapText="1"/>
    </xf>
    <xf numFmtId="14" fontId="84" fillId="4" borderId="92" xfId="7" applyNumberFormat="1" applyFont="1" applyFill="1" applyBorder="1" applyAlignment="1">
      <alignment horizontal="center" vertical="center" wrapText="1"/>
    </xf>
    <xf numFmtId="3" fontId="18" fillId="4" borderId="26" xfId="0" applyNumberFormat="1" applyFont="1" applyFill="1" applyBorder="1" applyAlignment="1">
      <alignment horizontal="right" vertical="center" wrapText="1" indent="1"/>
    </xf>
    <xf numFmtId="14" fontId="15" fillId="4" borderId="0" xfId="0" applyNumberFormat="1" applyFont="1" applyFill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right" vertical="center" wrapText="1" indent="1"/>
    </xf>
    <xf numFmtId="164" fontId="15" fillId="4" borderId="17" xfId="0" applyNumberFormat="1" applyFont="1" applyFill="1" applyBorder="1" applyAlignment="1">
      <alignment horizontal="right" vertical="center" wrapText="1" indent="1"/>
    </xf>
    <xf numFmtId="0" fontId="18" fillId="4" borderId="26" xfId="0" applyFont="1" applyFill="1" applyBorder="1" applyAlignment="1">
      <alignment horizontal="right" vertical="center" wrapText="1" indent="1"/>
    </xf>
    <xf numFmtId="3" fontId="18" fillId="4" borderId="27" xfId="0" applyNumberFormat="1" applyFont="1" applyFill="1" applyBorder="1" applyAlignment="1">
      <alignment horizontal="right" vertical="center" wrapText="1" indent="1"/>
    </xf>
    <xf numFmtId="164" fontId="18" fillId="4" borderId="28" xfId="0" applyNumberFormat="1" applyFont="1" applyFill="1" applyBorder="1" applyAlignment="1">
      <alignment horizontal="right" vertical="center" wrapText="1" indent="1"/>
    </xf>
    <xf numFmtId="3" fontId="17" fillId="4" borderId="160" xfId="0" applyNumberFormat="1" applyFont="1" applyFill="1" applyBorder="1" applyAlignment="1">
      <alignment horizontal="right" vertical="center" wrapText="1"/>
    </xf>
    <xf numFmtId="164" fontId="9" fillId="3" borderId="17" xfId="0" applyNumberFormat="1" applyFont="1" applyFill="1" applyBorder="1" applyAlignment="1">
      <alignment horizontal="right" vertical="center" wrapText="1" indent="1"/>
    </xf>
    <xf numFmtId="3" fontId="10" fillId="3" borderId="28" xfId="0" applyNumberFormat="1" applyFont="1" applyFill="1" applyBorder="1" applyAlignment="1">
      <alignment horizontal="right" vertical="center" wrapText="1" indent="1"/>
    </xf>
    <xf numFmtId="3" fontId="78" fillId="3" borderId="0" xfId="0" applyNumberFormat="1" applyFont="1" applyFill="1" applyBorder="1" applyAlignment="1">
      <alignment horizontal="right" vertical="center" wrapText="1"/>
    </xf>
    <xf numFmtId="164" fontId="78" fillId="3" borderId="0" xfId="0" applyNumberFormat="1" applyFont="1" applyFill="1" applyBorder="1" applyAlignment="1">
      <alignment horizontal="right" vertical="center" wrapText="1"/>
    </xf>
    <xf numFmtId="164" fontId="80" fillId="3" borderId="73" xfId="0" applyNumberFormat="1" applyFont="1" applyFill="1" applyBorder="1" applyAlignment="1">
      <alignment horizontal="right" vertical="center" wrapText="1"/>
    </xf>
    <xf numFmtId="3" fontId="78" fillId="3" borderId="56" xfId="0" applyNumberFormat="1" applyFont="1" applyFill="1" applyBorder="1" applyAlignment="1">
      <alignment horizontal="right" vertical="center" wrapText="1"/>
    </xf>
    <xf numFmtId="164" fontId="78" fillId="3" borderId="56" xfId="0" applyNumberFormat="1" applyFont="1" applyFill="1" applyBorder="1" applyAlignment="1">
      <alignment horizontal="right" vertical="center" wrapText="1"/>
    </xf>
    <xf numFmtId="164" fontId="80" fillId="3" borderId="75" xfId="0" applyNumberFormat="1" applyFont="1" applyFill="1" applyBorder="1" applyAlignment="1">
      <alignment horizontal="right" vertical="center" wrapText="1"/>
    </xf>
    <xf numFmtId="0" fontId="64" fillId="4" borderId="65" xfId="0" applyFont="1" applyFill="1" applyBorder="1" applyAlignment="1">
      <alignment vertical="center" wrapText="1"/>
    </xf>
    <xf numFmtId="164" fontId="80" fillId="4" borderId="72" xfId="2" applyNumberFormat="1" applyFont="1" applyFill="1" applyBorder="1" applyAlignment="1">
      <alignment vertical="center" wrapText="1"/>
    </xf>
    <xf numFmtId="164" fontId="80" fillId="4" borderId="64" xfId="2" applyNumberFormat="1" applyFont="1" applyFill="1" applyBorder="1" applyAlignment="1">
      <alignment vertical="center" wrapText="1"/>
    </xf>
    <xf numFmtId="1" fontId="80" fillId="4" borderId="64" xfId="0" applyNumberFormat="1" applyFont="1" applyFill="1" applyBorder="1" applyAlignment="1">
      <alignment horizontal="right" vertical="center" wrapText="1"/>
    </xf>
    <xf numFmtId="165" fontId="9" fillId="3" borderId="48" xfId="0" applyNumberFormat="1" applyFont="1" applyFill="1" applyBorder="1" applyAlignment="1">
      <alignment horizontal="right" vertical="center" wrapText="1"/>
    </xf>
    <xf numFmtId="1" fontId="10" fillId="3" borderId="54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" fontId="10" fillId="3" borderId="69" xfId="0" applyNumberFormat="1" applyFont="1" applyFill="1" applyBorder="1" applyAlignment="1">
      <alignment vertical="center" wrapText="1"/>
    </xf>
    <xf numFmtId="0" fontId="29" fillId="0" borderId="6" xfId="29" applyFont="1" applyBorder="1"/>
    <xf numFmtId="0" fontId="48" fillId="5" borderId="0" xfId="7" applyFont="1" applyFill="1" applyAlignment="1">
      <alignment horizontal="right" vertical="center"/>
    </xf>
    <xf numFmtId="0" fontId="12" fillId="4" borderId="150" xfId="0" applyFont="1" applyFill="1" applyBorder="1" applyAlignment="1">
      <alignment horizontal="left" vertical="center" wrapText="1"/>
    </xf>
    <xf numFmtId="0" fontId="12" fillId="4" borderId="153" xfId="0" applyFont="1" applyFill="1" applyBorder="1" applyAlignment="1">
      <alignment horizontal="left" vertical="center" wrapText="1"/>
    </xf>
    <xf numFmtId="0" fontId="12" fillId="4" borderId="156" xfId="0" applyFont="1" applyFill="1" applyBorder="1" applyAlignment="1">
      <alignment horizontal="left" vertical="center" wrapText="1"/>
    </xf>
    <xf numFmtId="0" fontId="29" fillId="0" borderId="4" xfId="7" applyFont="1" applyBorder="1" applyAlignment="1">
      <alignment horizontal="center" vertical="center" wrapText="1"/>
    </xf>
    <xf numFmtId="0" fontId="33" fillId="0" borderId="5" xfId="14" applyFont="1" applyBorder="1" applyAlignment="1">
      <alignment horizontal="center" vertical="center"/>
    </xf>
    <xf numFmtId="0" fontId="24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49" fontId="10" fillId="4" borderId="29" xfId="0" applyNumberFormat="1" applyFont="1" applyFill="1" applyBorder="1" applyAlignment="1">
      <alignment horizontal="center" vertical="center" wrapText="1"/>
    </xf>
    <xf numFmtId="49" fontId="10" fillId="4" borderId="30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49" fontId="10" fillId="4" borderId="66" xfId="0" applyNumberFormat="1" applyFont="1" applyFill="1" applyBorder="1" applyAlignment="1">
      <alignment horizontal="center" vertical="center" wrapText="1"/>
    </xf>
    <xf numFmtId="49" fontId="10" fillId="4" borderId="67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59" fillId="4" borderId="0" xfId="0" applyFont="1" applyFill="1" applyAlignment="1">
      <alignment horizontal="center" vertical="center" wrapText="1"/>
    </xf>
    <xf numFmtId="0" fontId="54" fillId="4" borderId="43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49" fontId="17" fillId="4" borderId="71" xfId="0" applyNumberFormat="1" applyFont="1" applyFill="1" applyBorder="1" applyAlignment="1">
      <alignment horizontal="center" vertical="center" wrapText="1"/>
    </xf>
    <xf numFmtId="49" fontId="17" fillId="4" borderId="67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49" fontId="10" fillId="4" borderId="119" xfId="0" applyNumberFormat="1" applyFont="1" applyFill="1" applyBorder="1" applyAlignment="1">
      <alignment horizontal="center" vertical="center" wrapText="1"/>
    </xf>
    <xf numFmtId="49" fontId="10" fillId="4" borderId="12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12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82" xfId="0" applyFont="1" applyFill="1" applyBorder="1" applyAlignment="1">
      <alignment horizontal="center" vertical="center" wrapText="1"/>
    </xf>
    <xf numFmtId="0" fontId="12" fillId="4" borderId="82" xfId="0" applyFont="1" applyFill="1" applyBorder="1" applyAlignment="1">
      <alignment horizontal="center" vertical="center" wrapText="1"/>
    </xf>
    <xf numFmtId="0" fontId="12" fillId="4" borderId="83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4" fillId="4" borderId="0" xfId="0" applyFont="1" applyFill="1" applyBorder="1" applyAlignment="1">
      <alignment horizontal="center" vertical="center" wrapText="1"/>
    </xf>
    <xf numFmtId="0" fontId="65" fillId="4" borderId="32" xfId="0" applyFont="1" applyFill="1" applyBorder="1" applyAlignment="1">
      <alignment horizontal="center" vertical="center" wrapText="1"/>
    </xf>
    <xf numFmtId="49" fontId="64" fillId="4" borderId="59" xfId="0" applyNumberFormat="1" applyFont="1" applyFill="1" applyBorder="1" applyAlignment="1">
      <alignment horizontal="center" vertical="center" wrapText="1"/>
    </xf>
    <xf numFmtId="49" fontId="65" fillId="4" borderId="60" xfId="0" applyNumberFormat="1" applyFont="1" applyFill="1" applyBorder="1" applyAlignment="1">
      <alignment horizontal="center" vertical="center" wrapText="1"/>
    </xf>
    <xf numFmtId="49" fontId="65" fillId="4" borderId="61" xfId="0" applyNumberFormat="1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49" fontId="10" fillId="4" borderId="59" xfId="0" applyNumberFormat="1" applyFont="1" applyFill="1" applyBorder="1" applyAlignment="1">
      <alignment horizontal="center" vertical="center" wrapText="1"/>
    </xf>
    <xf numFmtId="49" fontId="17" fillId="4" borderId="60" xfId="0" applyNumberFormat="1" applyFont="1" applyFill="1" applyBorder="1" applyAlignment="1">
      <alignment horizontal="center" vertical="center" wrapText="1"/>
    </xf>
    <xf numFmtId="49" fontId="17" fillId="4" borderId="61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48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4" borderId="16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9" fontId="23" fillId="4" borderId="31" xfId="0" applyNumberFormat="1" applyFont="1" applyFill="1" applyBorder="1" applyAlignment="1">
      <alignment horizontal="center" vertical="center" wrapText="1"/>
    </xf>
    <xf numFmtId="49" fontId="23" fillId="4" borderId="3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6" fillId="0" borderId="86" xfId="0" applyFont="1" applyBorder="1" applyAlignment="1">
      <alignment horizontal="left" vertical="center" wrapText="1"/>
    </xf>
    <xf numFmtId="49" fontId="69" fillId="4" borderId="88" xfId="7" applyNumberFormat="1" applyFont="1" applyFill="1" applyBorder="1" applyAlignment="1">
      <alignment horizontal="center" vertical="center" wrapText="1"/>
    </xf>
    <xf numFmtId="49" fontId="69" fillId="4" borderId="89" xfId="7" applyNumberFormat="1" applyFont="1" applyFill="1" applyBorder="1" applyAlignment="1">
      <alignment horizontal="center" vertical="center" wrapText="1"/>
    </xf>
    <xf numFmtId="49" fontId="69" fillId="4" borderId="90" xfId="7" applyNumberFormat="1" applyFont="1" applyFill="1" applyBorder="1" applyAlignment="1">
      <alignment horizontal="center" vertical="center" wrapText="1"/>
    </xf>
    <xf numFmtId="0" fontId="69" fillId="4" borderId="94" xfId="7" applyFont="1" applyFill="1" applyBorder="1" applyAlignment="1">
      <alignment horizontal="center" vertical="center" wrapText="1"/>
    </xf>
    <xf numFmtId="0" fontId="69" fillId="4" borderId="43" xfId="7" applyFont="1" applyFill="1" applyBorder="1" applyAlignment="1">
      <alignment horizontal="center" vertical="center" wrapText="1"/>
    </xf>
    <xf numFmtId="0" fontId="70" fillId="0" borderId="86" xfId="7" applyFont="1" applyBorder="1"/>
    <xf numFmtId="0" fontId="0" fillId="0" borderId="86" xfId="0" applyBorder="1"/>
    <xf numFmtId="49" fontId="85" fillId="4" borderId="101" xfId="7" applyNumberFormat="1" applyFont="1" applyFill="1" applyBorder="1" applyAlignment="1">
      <alignment horizontal="center" vertical="center" wrapText="1"/>
    </xf>
    <xf numFmtId="49" fontId="84" fillId="4" borderId="94" xfId="7" applyNumberFormat="1" applyFont="1" applyFill="1" applyBorder="1" applyAlignment="1">
      <alignment horizontal="center" vertical="center" wrapText="1"/>
    </xf>
    <xf numFmtId="49" fontId="84" fillId="4" borderId="87" xfId="7" applyNumberFormat="1" applyFont="1" applyFill="1" applyBorder="1" applyAlignment="1">
      <alignment horizontal="center" vertical="center" wrapText="1"/>
    </xf>
    <xf numFmtId="49" fontId="85" fillId="4" borderId="94" xfId="7" applyNumberFormat="1" applyFont="1" applyFill="1" applyBorder="1" applyAlignment="1">
      <alignment horizontal="center" vertical="center" wrapText="1"/>
    </xf>
    <xf numFmtId="0" fontId="85" fillId="4" borderId="87" xfId="7" applyFont="1" applyFill="1" applyBorder="1" applyAlignment="1">
      <alignment horizontal="center" vertical="center" wrapText="1"/>
    </xf>
    <xf numFmtId="0" fontId="85" fillId="4" borderId="45" xfId="7" applyFont="1" applyFill="1" applyBorder="1" applyAlignment="1">
      <alignment horizontal="center" vertical="center" wrapText="1"/>
    </xf>
    <xf numFmtId="0" fontId="61" fillId="4" borderId="48" xfId="7" applyFont="1" applyFill="1" applyBorder="1" applyAlignment="1">
      <alignment horizontal="center" vertical="center" wrapText="1"/>
    </xf>
    <xf numFmtId="49" fontId="17" fillId="4" borderId="88" xfId="7" applyNumberFormat="1" applyFont="1" applyFill="1" applyBorder="1" applyAlignment="1">
      <alignment horizontal="center" vertical="center" wrapText="1"/>
    </xf>
    <xf numFmtId="49" fontId="17" fillId="4" borderId="89" xfId="7" applyNumberFormat="1" applyFont="1" applyFill="1" applyBorder="1" applyAlignment="1">
      <alignment horizontal="center" vertical="center" wrapText="1"/>
    </xf>
    <xf numFmtId="49" fontId="17" fillId="4" borderId="90" xfId="7" applyNumberFormat="1" applyFont="1" applyFill="1" applyBorder="1" applyAlignment="1">
      <alignment horizontal="center" vertical="center" wrapText="1"/>
    </xf>
    <xf numFmtId="0" fontId="17" fillId="4" borderId="89" xfId="7" applyNumberFormat="1" applyFont="1" applyFill="1" applyBorder="1" applyAlignment="1">
      <alignment horizontal="center" vertical="center" wrapText="1"/>
    </xf>
    <xf numFmtId="0" fontId="74" fillId="0" borderId="108" xfId="7" applyFont="1" applyBorder="1" applyAlignment="1">
      <alignment wrapText="1"/>
    </xf>
    <xf numFmtId="0" fontId="0" fillId="0" borderId="108" xfId="0" applyBorder="1"/>
    <xf numFmtId="0" fontId="22" fillId="4" borderId="17" xfId="3" applyFont="1" applyFill="1" applyBorder="1" applyAlignment="1">
      <alignment horizontal="center" vertical="center" wrapText="1"/>
    </xf>
    <xf numFmtId="0" fontId="22" fillId="4" borderId="15" xfId="3" applyFont="1" applyFill="1" applyBorder="1" applyAlignment="1">
      <alignment horizontal="center" vertical="center" wrapText="1"/>
    </xf>
    <xf numFmtId="0" fontId="49" fillId="4" borderId="23" xfId="3" applyFont="1" applyFill="1" applyBorder="1" applyAlignment="1">
      <alignment horizontal="center" vertical="center" wrapText="1"/>
    </xf>
    <xf numFmtId="0" fontId="49" fillId="4" borderId="34" xfId="3" applyFont="1" applyFill="1" applyBorder="1" applyAlignment="1">
      <alignment horizontal="center" vertical="center" wrapText="1"/>
    </xf>
    <xf numFmtId="49" fontId="22" fillId="4" borderId="31" xfId="3" applyNumberFormat="1" applyFont="1" applyFill="1" applyBorder="1" applyAlignment="1">
      <alignment horizontal="center" vertical="center" wrapText="1"/>
    </xf>
    <xf numFmtId="49" fontId="22" fillId="4" borderId="29" xfId="3" applyNumberFormat="1" applyFont="1" applyFill="1" applyBorder="1" applyAlignment="1">
      <alignment horizontal="center" vertical="center" wrapText="1"/>
    </xf>
    <xf numFmtId="49" fontId="22" fillId="4" borderId="30" xfId="3" applyNumberFormat="1" applyFont="1" applyFill="1" applyBorder="1" applyAlignment="1">
      <alignment horizontal="center" vertical="center" wrapText="1"/>
    </xf>
    <xf numFmtId="0" fontId="49" fillId="4" borderId="22" xfId="3" applyFont="1" applyFill="1" applyBorder="1" applyAlignment="1">
      <alignment horizontal="center" vertical="center" wrapText="1"/>
    </xf>
    <xf numFmtId="0" fontId="74" fillId="0" borderId="108" xfId="7" applyFont="1" applyBorder="1"/>
    <xf numFmtId="49" fontId="22" fillId="4" borderId="109" xfId="3" applyNumberFormat="1" applyFont="1" applyFill="1" applyBorder="1" applyAlignment="1">
      <alignment horizontal="center" vertical="center" wrapText="1"/>
    </xf>
    <xf numFmtId="49" fontId="22" fillId="4" borderId="110" xfId="3" applyNumberFormat="1" applyFont="1" applyFill="1" applyBorder="1" applyAlignment="1">
      <alignment horizontal="center" vertical="center" wrapText="1"/>
    </xf>
    <xf numFmtId="49" fontId="22" fillId="4" borderId="111" xfId="3" applyNumberFormat="1" applyFont="1" applyFill="1" applyBorder="1" applyAlignment="1">
      <alignment horizontal="center" vertical="center" wrapText="1"/>
    </xf>
    <xf numFmtId="0" fontId="49" fillId="4" borderId="113" xfId="3" applyFont="1" applyFill="1" applyBorder="1" applyAlignment="1">
      <alignment horizontal="center" vertical="center" wrapText="1"/>
    </xf>
    <xf numFmtId="0" fontId="49" fillId="4" borderId="114" xfId="3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9" fillId="4" borderId="112" xfId="3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4" borderId="0" xfId="7" applyFont="1" applyFill="1" applyAlignment="1">
      <alignment horizontal="center" vertical="center" wrapText="1"/>
    </xf>
    <xf numFmtId="0" fontId="15" fillId="4" borderId="16" xfId="7" applyFont="1" applyFill="1" applyBorder="1" applyAlignment="1">
      <alignment horizontal="center" vertical="center" wrapText="1"/>
    </xf>
    <xf numFmtId="0" fontId="10" fillId="4" borderId="0" xfId="7" applyFont="1" applyFill="1" applyAlignment="1">
      <alignment horizontal="center" vertical="center" wrapText="1"/>
    </xf>
    <xf numFmtId="0" fontId="10" fillId="4" borderId="16" xfId="7" applyFont="1" applyFill="1" applyBorder="1" applyAlignment="1">
      <alignment horizontal="center" vertical="center" wrapText="1"/>
    </xf>
    <xf numFmtId="49" fontId="10" fillId="4" borderId="16" xfId="7" applyNumberFormat="1" applyFont="1" applyFill="1" applyBorder="1" applyAlignment="1">
      <alignment horizontal="center" vertical="center" wrapText="1"/>
    </xf>
    <xf numFmtId="49" fontId="10" fillId="4" borderId="15" xfId="7" applyNumberFormat="1" applyFont="1" applyFill="1" applyBorder="1" applyAlignment="1">
      <alignment horizontal="center" vertical="center" wrapText="1"/>
    </xf>
    <xf numFmtId="49" fontId="10" fillId="4" borderId="24" xfId="7" applyNumberFormat="1" applyFont="1" applyFill="1" applyBorder="1" applyAlignment="1">
      <alignment horizontal="center" vertical="center" wrapText="1"/>
    </xf>
    <xf numFmtId="0" fontId="75" fillId="3" borderId="108" xfId="7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23" fillId="4" borderId="146" xfId="0" applyFont="1" applyFill="1" applyBorder="1" applyAlignment="1">
      <alignment horizontal="center" vertical="center" wrapText="1"/>
    </xf>
    <xf numFmtId="49" fontId="23" fillId="4" borderId="147" xfId="0" applyNumberFormat="1" applyFont="1" applyFill="1" applyBorder="1" applyAlignment="1">
      <alignment horizontal="center" vertical="center" wrapText="1"/>
    </xf>
    <xf numFmtId="49" fontId="2" fillId="4" borderId="147" xfId="0" applyNumberFormat="1" applyFont="1" applyFill="1" applyBorder="1" applyAlignment="1">
      <alignment horizontal="center" vertical="center" wrapText="1"/>
    </xf>
    <xf numFmtId="49" fontId="2" fillId="4" borderId="148" xfId="0" applyNumberFormat="1" applyFont="1" applyFill="1" applyBorder="1" applyAlignment="1">
      <alignment horizontal="center" vertical="center" wrapText="1"/>
    </xf>
    <xf numFmtId="0" fontId="23" fillId="4" borderId="117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9" fillId="4" borderId="132" xfId="0" applyFont="1" applyFill="1" applyBorder="1" applyAlignment="1">
      <alignment horizontal="center" vertical="center" wrapText="1"/>
    </xf>
    <xf numFmtId="0" fontId="9" fillId="4" borderId="13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</cellXfs>
  <cellStyles count="30">
    <cellStyle name="Comma 2" xfId="4" xr:uid="{00000000-0005-0000-0000-000000000000}"/>
    <cellStyle name="Comma 3" xfId="5" xr:uid="{00000000-0005-0000-0000-000001000000}"/>
    <cellStyle name="Hyperlink" xfId="1" builtinId="8"/>
    <cellStyle name="Hyperlink 2" xfId="8" xr:uid="{00000000-0005-0000-0000-000003000000}"/>
    <cellStyle name="Normal" xfId="0" builtinId="0"/>
    <cellStyle name="Normal 10" xfId="24" xr:uid="{5D1FE4AA-26BC-4A22-940A-FBFF561C8366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717A0739-512F-490E-8C9E-E48BABE3403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Obično_standardizirani pristup_izvješće  RV 01.02.2008." xfId="27" xr:uid="{4EA79E69-3BAD-49FC-A11B-7498A2B8D947}"/>
    <cellStyle name="Percent" xfId="2" builtinId="5"/>
    <cellStyle name="Percent 2" xfId="19" xr:uid="{00000000-0005-0000-0000-000013000000}"/>
    <cellStyle name="Standard 3" xfId="26" xr:uid="{B976B9B0-D525-447C-AA99-883A3A3FD061}"/>
  </cellStyles>
  <dxfs count="12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FFF99"/>
      <color rgb="FFFFFFCC"/>
      <color rgb="FFFF6565"/>
      <color rgb="FFFF4B4B"/>
      <color rgb="FF800000"/>
      <color rgb="FFC4C13F"/>
      <color rgb="FFDADF21"/>
      <color rgb="FFA50021"/>
      <color rgb="FFC7B639"/>
      <color rgb="FFC7A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</xdr:row>
      <xdr:rowOff>25400</xdr:rowOff>
    </xdr:from>
    <xdr:to>
      <xdr:col>8</xdr:col>
      <xdr:colOff>558800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SpPr/>
      </xdr:nvSpPr>
      <xdr:spPr>
        <a:xfrm>
          <a:off x="5791200" y="254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C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2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222250</xdr:colOff>
      <xdr:row>0</xdr:row>
      <xdr:rowOff>19050</xdr:rowOff>
    </xdr:from>
    <xdr:to>
      <xdr:col>6</xdr:col>
      <xdr:colOff>527050</xdr:colOff>
      <xdr:row>0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646430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4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9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158750</xdr:colOff>
      <xdr:row>1</xdr:row>
      <xdr:rowOff>44450</xdr:rowOff>
    </xdr:from>
    <xdr:to>
      <xdr:col>7</xdr:col>
      <xdr:colOff>463550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78422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6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0</xdr:row>
      <xdr:rowOff>50800</xdr:rowOff>
    </xdr:from>
    <xdr:to>
      <xdr:col>7</xdr:col>
      <xdr:colOff>431800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697230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2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5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8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A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D00-000003000000}"/>
            </a:ext>
          </a:extLst>
        </xdr:cNvPr>
        <xdr:cNvSpPr/>
      </xdr:nvSpPr>
      <xdr:spPr>
        <a:xfrm>
          <a:off x="6356350" y="190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0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9372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222250</xdr:colOff>
      <xdr:row>1</xdr:row>
      <xdr:rowOff>63500</xdr:rowOff>
    </xdr:from>
    <xdr:to>
      <xdr:col>8</xdr:col>
      <xdr:colOff>527050</xdr:colOff>
      <xdr:row>2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/>
      </xdr:nvSpPr>
      <xdr:spPr>
        <a:xfrm>
          <a:off x="646430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H19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12.140625" style="43" customWidth="1"/>
    <col min="2" max="2" width="15" style="43" customWidth="1"/>
    <col min="3" max="3" width="56.140625" style="43" customWidth="1"/>
    <col min="4" max="4" width="13.5703125" style="43" customWidth="1"/>
    <col min="5" max="5" width="13.7109375" style="43" customWidth="1"/>
    <col min="6" max="7" width="9.140625" style="43"/>
    <col min="8" max="8" width="6.85546875" style="43" customWidth="1"/>
    <col min="9" max="9" width="4.7109375" style="43" customWidth="1"/>
    <col min="10" max="10" width="2.85546875" style="43" customWidth="1"/>
    <col min="11" max="16384" width="9.140625" style="43"/>
  </cols>
  <sheetData>
    <row r="1" spans="1:8" ht="25.5" customHeight="1" thickBot="1" x14ac:dyDescent="0.3">
      <c r="A1" s="761" t="s">
        <v>198</v>
      </c>
      <c r="B1" s="761"/>
      <c r="C1" s="761"/>
      <c r="D1" s="761"/>
      <c r="E1" s="761"/>
    </row>
    <row r="2" spans="1:8" ht="15.75" thickTop="1" x14ac:dyDescent="0.25"/>
    <row r="4" spans="1:8" ht="15.75" x14ac:dyDescent="0.25">
      <c r="H4" s="17"/>
    </row>
    <row r="5" spans="1:8" ht="19.5" x14ac:dyDescent="0.25">
      <c r="A5" s="762" t="s">
        <v>221</v>
      </c>
      <c r="B5" s="762"/>
      <c r="C5" s="762"/>
      <c r="D5" s="762"/>
      <c r="E5" s="762"/>
    </row>
    <row r="6" spans="1:8" ht="15.75" x14ac:dyDescent="0.25">
      <c r="B6" s="17"/>
      <c r="C6" s="44"/>
      <c r="H6" s="18"/>
    </row>
    <row r="7" spans="1:8" x14ac:dyDescent="0.25">
      <c r="C7" s="44"/>
    </row>
    <row r="8" spans="1:8" ht="17.25" x14ac:dyDescent="0.25">
      <c r="B8" s="19"/>
      <c r="C8" s="57" t="s">
        <v>530</v>
      </c>
    </row>
    <row r="11" spans="1:8" x14ac:dyDescent="0.25">
      <c r="A11" s="756" t="s">
        <v>197</v>
      </c>
      <c r="B11" s="698"/>
      <c r="C11" s="698"/>
      <c r="D11" s="698"/>
      <c r="E11" s="698"/>
    </row>
    <row r="12" spans="1:8" x14ac:dyDescent="0.25">
      <c r="A12" s="763" t="s">
        <v>529</v>
      </c>
      <c r="B12" s="764"/>
      <c r="C12" s="764"/>
      <c r="D12" s="764"/>
      <c r="E12" s="764"/>
    </row>
    <row r="13" spans="1:8" x14ac:dyDescent="0.25">
      <c r="A13" s="764"/>
      <c r="B13" s="764"/>
      <c r="C13" s="764"/>
      <c r="D13" s="764"/>
      <c r="E13" s="764"/>
    </row>
    <row r="14" spans="1:8" x14ac:dyDescent="0.25">
      <c r="A14" s="764"/>
      <c r="B14" s="764"/>
      <c r="C14" s="764"/>
      <c r="D14" s="764"/>
      <c r="E14" s="764"/>
    </row>
    <row r="15" spans="1:8" x14ac:dyDescent="0.25">
      <c r="A15" s="764"/>
      <c r="B15" s="764"/>
      <c r="C15" s="764"/>
      <c r="D15" s="764"/>
      <c r="E15" s="764"/>
    </row>
    <row r="19" spans="2:2" x14ac:dyDescent="0.25">
      <c r="B19" s="20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N22"/>
  <sheetViews>
    <sheetView topLeftCell="A2" zoomScaleNormal="100" workbookViewId="0">
      <selection activeCell="A3" sqref="A3"/>
    </sheetView>
  </sheetViews>
  <sheetFormatPr defaultRowHeight="15" x14ac:dyDescent="0.25"/>
  <cols>
    <col min="1" max="1" width="18.140625" style="49" customWidth="1"/>
    <col min="2" max="2" width="7.28515625" style="49" customWidth="1"/>
    <col min="3" max="3" width="5.28515625" style="49" customWidth="1"/>
    <col min="4" max="4" width="7.28515625" style="49" customWidth="1"/>
    <col min="5" max="5" width="5.28515625" style="49" customWidth="1"/>
    <col min="6" max="6" width="7.28515625" style="49" customWidth="1"/>
    <col min="7" max="7" width="5.28515625" style="49" customWidth="1"/>
    <col min="8" max="8" width="7.28515625" style="49" customWidth="1"/>
    <col min="9" max="9" width="5.28515625" style="49" customWidth="1"/>
    <col min="10" max="10" width="7.28515625" style="49" customWidth="1"/>
    <col min="11" max="11" width="5.28515625" style="49" customWidth="1"/>
    <col min="12" max="12" width="7.28515625" style="49" customWidth="1"/>
    <col min="13" max="13" width="5.28515625" style="49" customWidth="1"/>
    <col min="14" max="14" width="6.28515625" style="154" customWidth="1"/>
  </cols>
  <sheetData>
    <row r="1" spans="1:14" s="49" customFormat="1" ht="14.45" hidden="1" customHeight="1" x14ac:dyDescent="0.25">
      <c r="N1" s="154"/>
    </row>
    <row r="2" spans="1:14" s="14" customFormat="1" x14ac:dyDescent="0.25">
      <c r="A2" s="49"/>
      <c r="B2" s="28"/>
      <c r="C2" s="28"/>
      <c r="D2" s="28"/>
      <c r="E2" s="28"/>
      <c r="F2" s="28"/>
      <c r="G2" s="28"/>
      <c r="H2" s="28"/>
      <c r="I2" s="28"/>
      <c r="J2" s="49"/>
      <c r="K2" s="49"/>
      <c r="L2" s="49"/>
      <c r="M2" s="49"/>
      <c r="N2" s="154"/>
    </row>
    <row r="3" spans="1:14" x14ac:dyDescent="0.25">
      <c r="A3" s="152" t="s">
        <v>385</v>
      </c>
      <c r="B3" s="445"/>
      <c r="C3" s="445"/>
      <c r="D3" s="445"/>
      <c r="E3" s="445"/>
      <c r="F3" s="445"/>
      <c r="G3" s="445"/>
      <c r="H3" s="445"/>
      <c r="I3" s="445"/>
      <c r="J3" s="147"/>
      <c r="K3" s="147"/>
      <c r="L3" s="147"/>
      <c r="M3" s="147"/>
      <c r="N3" s="438" t="s">
        <v>400</v>
      </c>
    </row>
    <row r="4" spans="1:14" ht="15" customHeight="1" x14ac:dyDescent="0.25">
      <c r="A4" s="766" t="s">
        <v>12</v>
      </c>
      <c r="B4" s="779" t="s">
        <v>532</v>
      </c>
      <c r="C4" s="788"/>
      <c r="D4" s="788"/>
      <c r="E4" s="788"/>
      <c r="F4" s="788"/>
      <c r="G4" s="788"/>
      <c r="H4" s="779" t="s">
        <v>533</v>
      </c>
      <c r="I4" s="788"/>
      <c r="J4" s="788"/>
      <c r="K4" s="788"/>
      <c r="L4" s="788"/>
      <c r="M4" s="789"/>
      <c r="N4" s="785" t="s">
        <v>11</v>
      </c>
    </row>
    <row r="5" spans="1:14" ht="36" x14ac:dyDescent="0.25">
      <c r="A5" s="787"/>
      <c r="B5" s="181" t="s">
        <v>45</v>
      </c>
      <c r="C5" s="182" t="s">
        <v>3</v>
      </c>
      <c r="D5" s="182" t="s">
        <v>136</v>
      </c>
      <c r="E5" s="182" t="s">
        <v>3</v>
      </c>
      <c r="F5" s="182" t="s">
        <v>41</v>
      </c>
      <c r="G5" s="182" t="s">
        <v>3</v>
      </c>
      <c r="H5" s="181" t="s">
        <v>45</v>
      </c>
      <c r="I5" s="182" t="s">
        <v>3</v>
      </c>
      <c r="J5" s="182" t="s">
        <v>136</v>
      </c>
      <c r="K5" s="182" t="s">
        <v>3</v>
      </c>
      <c r="L5" s="182" t="s">
        <v>41</v>
      </c>
      <c r="M5" s="183" t="s">
        <v>3</v>
      </c>
      <c r="N5" s="786"/>
    </row>
    <row r="6" spans="1:14" s="1" customFormat="1" ht="14.1" customHeight="1" x14ac:dyDescent="0.25">
      <c r="A6" s="549" t="s">
        <v>42</v>
      </c>
      <c r="B6" s="550"/>
      <c r="C6" s="551"/>
      <c r="D6" s="552"/>
      <c r="E6" s="551"/>
      <c r="F6" s="553"/>
      <c r="G6" s="551"/>
      <c r="H6" s="550"/>
      <c r="I6" s="551"/>
      <c r="J6" s="552"/>
      <c r="K6" s="551"/>
      <c r="L6" s="553"/>
      <c r="M6" s="554"/>
      <c r="N6" s="553"/>
    </row>
    <row r="7" spans="1:14" ht="14.1" customHeight="1" x14ac:dyDescent="0.25">
      <c r="A7" s="201" t="s">
        <v>423</v>
      </c>
      <c r="B7" s="555">
        <v>578.11800000000005</v>
      </c>
      <c r="C7" s="556">
        <f>IF(B$20&gt;0,B7*100/B$20,0)</f>
        <v>8.8733526061687922</v>
      </c>
      <c r="D7" s="557">
        <v>5.15</v>
      </c>
      <c r="E7" s="556">
        <f>IF(D$20&gt;0,D7*100/D$20,0)</f>
        <v>0.51315980892519419</v>
      </c>
      <c r="F7" s="208">
        <f>B7+D7</f>
        <v>583.26800000000003</v>
      </c>
      <c r="G7" s="556">
        <f>IF(F$20&gt;0,F7*100/F$20,0)</f>
        <v>7.7574602652736795</v>
      </c>
      <c r="H7" s="555">
        <v>986.50400000000002</v>
      </c>
      <c r="I7" s="556">
        <f>IF(H$20&gt;0,H7*100/H$20,0)</f>
        <v>13.914151233869207</v>
      </c>
      <c r="J7" s="557">
        <v>8.14</v>
      </c>
      <c r="K7" s="556">
        <f>IF(J$20&gt;0,J7*100/J$20,0)</f>
        <v>0.75693328572278751</v>
      </c>
      <c r="L7" s="208">
        <f>H7+J7</f>
        <v>994.64400000000001</v>
      </c>
      <c r="M7" s="558">
        <f>IF(L$20&gt;0,L7*100/L$20,0)</f>
        <v>12.181315501832442</v>
      </c>
      <c r="N7" s="559">
        <f>IF(F7&lt;&gt;0,L7*100/F7,0)</f>
        <v>170.52949930392202</v>
      </c>
    </row>
    <row r="8" spans="1:14" ht="14.1" customHeight="1" x14ac:dyDescent="0.25">
      <c r="A8" s="201" t="s">
        <v>424</v>
      </c>
      <c r="B8" s="555">
        <v>1035.4069999999999</v>
      </c>
      <c r="C8" s="556">
        <f>IF(B$20&gt;0,B8*100/B$20,0)</f>
        <v>15.892138632416581</v>
      </c>
      <c r="D8" s="557">
        <v>336.86799999999999</v>
      </c>
      <c r="E8" s="556">
        <f t="shared" ref="E8:E11" si="0">IF(D$20&gt;0,D8*100/D$20,0)</f>
        <v>33.566430779225698</v>
      </c>
      <c r="F8" s="208">
        <f t="shared" ref="F8:F11" si="1">B8+D8</f>
        <v>1372.2749999999999</v>
      </c>
      <c r="G8" s="556">
        <f t="shared" ref="G8:G11" si="2">IF(F$20&gt;0,F8*100/F$20,0)</f>
        <v>18.251247772084938</v>
      </c>
      <c r="H8" s="555">
        <v>1112.5550000000001</v>
      </c>
      <c r="I8" s="556">
        <f>IF(H$20&gt;0,H8*100/H$20,0)</f>
        <v>15.69203827455069</v>
      </c>
      <c r="J8" s="557">
        <v>371.38499999999999</v>
      </c>
      <c r="K8" s="556">
        <f>IF(J$20&gt;0,J8*100/J$20,0)</f>
        <v>34.534848687734332</v>
      </c>
      <c r="L8" s="208">
        <f t="shared" ref="L8:L11" si="3">H8+J8</f>
        <v>1483.94</v>
      </c>
      <c r="M8" s="558">
        <f t="shared" ref="M8:M11" si="4">IF(L$20&gt;0,L8*100/L$20,0)</f>
        <v>18.173679553477662</v>
      </c>
      <c r="N8" s="559">
        <f>IF(F8&lt;&gt;0,L8*100/F8,0)</f>
        <v>108.1372173944727</v>
      </c>
    </row>
    <row r="9" spans="1:14" ht="14.1" customHeight="1" x14ac:dyDescent="0.25">
      <c r="A9" s="201" t="s">
        <v>514</v>
      </c>
      <c r="B9" s="555">
        <v>165.36600000000001</v>
      </c>
      <c r="C9" s="556">
        <f t="shared" ref="C9:C11" si="5">IF(B$20&gt;0,B9*100/B$20,0)</f>
        <v>2.538151081737134</v>
      </c>
      <c r="D9" s="557">
        <v>4.7859999999999996</v>
      </c>
      <c r="E9" s="556">
        <f t="shared" si="0"/>
        <v>0.47688987291572416</v>
      </c>
      <c r="F9" s="208">
        <f t="shared" si="1"/>
        <v>170.15200000000002</v>
      </c>
      <c r="G9" s="556">
        <f t="shared" si="2"/>
        <v>2.2630203938101303</v>
      </c>
      <c r="H9" s="555">
        <v>69.11</v>
      </c>
      <c r="I9" s="556">
        <f t="shared" ref="I9:K11" si="6">IF(H$20&gt;0,H9*100/H$20,0)</f>
        <v>0.97476238491957545</v>
      </c>
      <c r="J9" s="557">
        <v>6</v>
      </c>
      <c r="K9" s="556">
        <f t="shared" si="6"/>
        <v>0.55793608284234952</v>
      </c>
      <c r="L9" s="208">
        <f t="shared" si="3"/>
        <v>75.11</v>
      </c>
      <c r="M9" s="558">
        <f t="shared" si="4"/>
        <v>0.91986540645963255</v>
      </c>
      <c r="N9" s="559">
        <f>IF(F9&lt;&gt;0,L9*100/F9,0)</f>
        <v>44.14288400959142</v>
      </c>
    </row>
    <row r="10" spans="1:14" ht="14.1" customHeight="1" x14ac:dyDescent="0.25">
      <c r="A10" s="201" t="s">
        <v>422</v>
      </c>
      <c r="B10" s="560">
        <v>2051.4850000000001</v>
      </c>
      <c r="C10" s="556">
        <f t="shared" si="5"/>
        <v>31.487602481268844</v>
      </c>
      <c r="D10" s="208">
        <v>404.80799999999999</v>
      </c>
      <c r="E10" s="556">
        <f t="shared" si="0"/>
        <v>40.336154549784474</v>
      </c>
      <c r="F10" s="561">
        <f t="shared" si="1"/>
        <v>2456.2930000000001</v>
      </c>
      <c r="G10" s="556">
        <f t="shared" si="2"/>
        <v>32.668679487593835</v>
      </c>
      <c r="H10" s="560">
        <v>2266.739</v>
      </c>
      <c r="I10" s="556">
        <f t="shared" si="6"/>
        <v>31.971233014472773</v>
      </c>
      <c r="J10" s="208">
        <v>432.59500000000003</v>
      </c>
      <c r="K10" s="556">
        <f t="shared" si="6"/>
        <v>40.226726626197703</v>
      </c>
      <c r="L10" s="561">
        <f t="shared" si="3"/>
        <v>2699.3339999999998</v>
      </c>
      <c r="M10" s="558">
        <f t="shared" si="4"/>
        <v>33.058500427110978</v>
      </c>
      <c r="N10" s="559">
        <f t="shared" ref="N10:N20" si="7">IF(F10&lt;&gt;0,L10*100/F10,0)</f>
        <v>109.8946257632945</v>
      </c>
    </row>
    <row r="11" spans="1:14" ht="14.1" customHeight="1" x14ac:dyDescent="0.25">
      <c r="A11" s="201" t="s">
        <v>242</v>
      </c>
      <c r="B11" s="555">
        <v>252.28899999999999</v>
      </c>
      <c r="C11" s="556">
        <f t="shared" si="5"/>
        <v>3.8723050582367575</v>
      </c>
      <c r="D11" s="557">
        <v>15.535</v>
      </c>
      <c r="E11" s="556">
        <f t="shared" si="0"/>
        <v>1.547949054689882</v>
      </c>
      <c r="F11" s="208">
        <f t="shared" si="1"/>
        <v>267.82400000000001</v>
      </c>
      <c r="G11" s="556">
        <f t="shared" si="2"/>
        <v>3.5620573014234589</v>
      </c>
      <c r="H11" s="555">
        <v>275.66500000000002</v>
      </c>
      <c r="I11" s="556">
        <f t="shared" si="6"/>
        <v>3.8881185478057416</v>
      </c>
      <c r="J11" s="557">
        <v>11.997999999999999</v>
      </c>
      <c r="K11" s="556">
        <f t="shared" si="6"/>
        <v>1.1156861869904182</v>
      </c>
      <c r="L11" s="208">
        <f t="shared" si="3"/>
        <v>287.66300000000001</v>
      </c>
      <c r="M11" s="558">
        <f t="shared" si="4"/>
        <v>3.5229828573877953</v>
      </c>
      <c r="N11" s="559">
        <f t="shared" si="7"/>
        <v>107.40747655176534</v>
      </c>
    </row>
    <row r="12" spans="1:14" ht="14.1" customHeight="1" x14ac:dyDescent="0.25">
      <c r="A12" s="562" t="s">
        <v>41</v>
      </c>
      <c r="B12" s="563">
        <f t="shared" ref="B12:M12" si="8">SUM(B7:B11)</f>
        <v>4082.665</v>
      </c>
      <c r="C12" s="564">
        <f t="shared" si="8"/>
        <v>62.663549859828102</v>
      </c>
      <c r="D12" s="565">
        <f t="shared" si="8"/>
        <v>767.14699999999993</v>
      </c>
      <c r="E12" s="564">
        <f t="shared" si="8"/>
        <v>76.440584065540975</v>
      </c>
      <c r="F12" s="565">
        <f t="shared" si="8"/>
        <v>4849.811999999999</v>
      </c>
      <c r="G12" s="564">
        <f>SUM(G7:G11)</f>
        <v>64.502465220186039</v>
      </c>
      <c r="H12" s="563">
        <f t="shared" si="8"/>
        <v>4710.5730000000003</v>
      </c>
      <c r="I12" s="564">
        <f>SUM(I7:I11)</f>
        <v>66.440303455617993</v>
      </c>
      <c r="J12" s="565">
        <f t="shared" si="8"/>
        <v>830.11800000000005</v>
      </c>
      <c r="K12" s="564">
        <f t="shared" si="8"/>
        <v>77.192130869487585</v>
      </c>
      <c r="L12" s="565">
        <f t="shared" si="8"/>
        <v>5540.6910000000007</v>
      </c>
      <c r="M12" s="566">
        <f t="shared" si="8"/>
        <v>67.856343746268521</v>
      </c>
      <c r="N12" s="567">
        <f t="shared" si="7"/>
        <v>114.24548003097857</v>
      </c>
    </row>
    <row r="13" spans="1:14" ht="14.1" customHeight="1" x14ac:dyDescent="0.25">
      <c r="A13" s="549" t="s">
        <v>43</v>
      </c>
      <c r="B13" s="568"/>
      <c r="C13" s="556"/>
      <c r="D13" s="569"/>
      <c r="E13" s="556"/>
      <c r="F13" s="208"/>
      <c r="G13" s="556"/>
      <c r="H13" s="568"/>
      <c r="I13" s="556"/>
      <c r="J13" s="569"/>
      <c r="K13" s="556"/>
      <c r="L13" s="208"/>
      <c r="M13" s="558"/>
      <c r="N13" s="559">
        <f t="shared" si="7"/>
        <v>0</v>
      </c>
    </row>
    <row r="14" spans="1:14" ht="14.1" customHeight="1" x14ac:dyDescent="0.25">
      <c r="A14" s="201" t="s">
        <v>423</v>
      </c>
      <c r="B14" s="555">
        <v>44.353000000000002</v>
      </c>
      <c r="C14" s="556">
        <f>IF(B$20&gt;0,B14*100/B$20,0)</f>
        <v>0.68076034328874802</v>
      </c>
      <c r="D14" s="557">
        <v>0</v>
      </c>
      <c r="E14" s="556">
        <f>IF(D$20&gt;0,D14*100/D$20,0)</f>
        <v>0</v>
      </c>
      <c r="F14" s="208">
        <f t="shared" ref="F14:F18" si="9">B14+D14</f>
        <v>44.353000000000002</v>
      </c>
      <c r="G14" s="556">
        <f>IF(F$20&gt;0,F14*100/F$20,0)</f>
        <v>0.5898945855861859</v>
      </c>
      <c r="H14" s="555">
        <v>46.622999999999998</v>
      </c>
      <c r="I14" s="556">
        <f>IF(H$20&gt;0,H14*100/H$20,0)</f>
        <v>0.65759436654761061</v>
      </c>
      <c r="J14" s="557">
        <v>0</v>
      </c>
      <c r="K14" s="556">
        <f>IF(J$20&gt;0,J14*100/J$20,0)</f>
        <v>0</v>
      </c>
      <c r="L14" s="208">
        <f t="shared" ref="L14:L18" si="10">H14+J14</f>
        <v>46.622999999999998</v>
      </c>
      <c r="M14" s="558">
        <f>IF(L$20&gt;0,L14*100/L$20,0)</f>
        <v>0.57098768267031619</v>
      </c>
      <c r="N14" s="559">
        <f t="shared" si="7"/>
        <v>105.11803034743986</v>
      </c>
    </row>
    <row r="15" spans="1:14" ht="14.1" customHeight="1" x14ac:dyDescent="0.25">
      <c r="A15" s="201" t="s">
        <v>424</v>
      </c>
      <c r="B15" s="555">
        <v>232.37299999999999</v>
      </c>
      <c r="C15" s="556">
        <f t="shared" ref="C15:E18" si="11">IF(B$20&gt;0,B15*100/B$20,0)</f>
        <v>3.5666205950225738</v>
      </c>
      <c r="D15" s="557">
        <v>85.600999999999999</v>
      </c>
      <c r="E15" s="556">
        <f t="shared" si="11"/>
        <v>8.5295131657874865</v>
      </c>
      <c r="F15" s="208">
        <f t="shared" si="9"/>
        <v>317.97399999999999</v>
      </c>
      <c r="G15" s="556">
        <f t="shared" ref="G15:G18" si="12">IF(F$20&gt;0,F15*100/F$20,0)</f>
        <v>4.2290519459153124</v>
      </c>
      <c r="H15" s="555">
        <v>282.19499999999999</v>
      </c>
      <c r="I15" s="556">
        <f t="shared" ref="I15" si="13">IF(H$20&gt;0,H15*100/H$20,0)</f>
        <v>3.9802209696480912</v>
      </c>
      <c r="J15" s="557">
        <v>96.143000000000001</v>
      </c>
      <c r="K15" s="556">
        <f t="shared" ref="K15" si="14">IF(J$20&gt;0,J15*100/J$20,0)</f>
        <v>8.9402748021186689</v>
      </c>
      <c r="L15" s="208">
        <f t="shared" si="10"/>
        <v>378.33799999999997</v>
      </c>
      <c r="M15" s="558">
        <f t="shared" ref="M15:M18" si="15">IF(L$20&gt;0,L15*100/L$20,0)</f>
        <v>4.6334714172430358</v>
      </c>
      <c r="N15" s="559">
        <f t="shared" si="7"/>
        <v>118.98394208331497</v>
      </c>
    </row>
    <row r="16" spans="1:14" ht="14.1" customHeight="1" x14ac:dyDescent="0.25">
      <c r="A16" s="201" t="s">
        <v>514</v>
      </c>
      <c r="B16" s="555">
        <v>195.91</v>
      </c>
      <c r="C16" s="556">
        <f t="shared" si="11"/>
        <v>3.0069613972831286</v>
      </c>
      <c r="D16" s="557">
        <v>7.71</v>
      </c>
      <c r="E16" s="556">
        <f t="shared" si="11"/>
        <v>0.76824507316762092</v>
      </c>
      <c r="F16" s="208">
        <f t="shared" si="9"/>
        <v>203.62</v>
      </c>
      <c r="G16" s="556">
        <f t="shared" si="12"/>
        <v>2.7081445565589517</v>
      </c>
      <c r="H16" s="555">
        <v>102.708</v>
      </c>
      <c r="I16" s="556">
        <f t="shared" ref="I16" si="16">IF(H$20&gt;0,H16*100/H$20,0)</f>
        <v>1.4486455654799557</v>
      </c>
      <c r="J16" s="557">
        <v>6.71</v>
      </c>
      <c r="K16" s="556">
        <f t="shared" ref="K16" si="17">IF(J$20&gt;0,J16*100/J$20,0)</f>
        <v>0.62395851931202762</v>
      </c>
      <c r="L16" s="208">
        <f t="shared" si="10"/>
        <v>109.41799999999999</v>
      </c>
      <c r="M16" s="558">
        <f t="shared" si="15"/>
        <v>1.3400323930768216</v>
      </c>
      <c r="N16" s="559">
        <f t="shared" si="7"/>
        <v>53.736371672723699</v>
      </c>
    </row>
    <row r="17" spans="1:14" ht="14.1" customHeight="1" x14ac:dyDescent="0.25">
      <c r="A17" s="201" t="s">
        <v>422</v>
      </c>
      <c r="B17" s="555">
        <v>1804.0550000000001</v>
      </c>
      <c r="C17" s="556">
        <f t="shared" si="11"/>
        <v>27.689876696317771</v>
      </c>
      <c r="D17" s="557">
        <v>133.93600000000001</v>
      </c>
      <c r="E17" s="556">
        <f t="shared" si="11"/>
        <v>13.34574216858346</v>
      </c>
      <c r="F17" s="208">
        <f t="shared" si="9"/>
        <v>1937.991</v>
      </c>
      <c r="G17" s="556">
        <f t="shared" si="12"/>
        <v>25.775266561782924</v>
      </c>
      <c r="H17" s="555">
        <v>1782.48</v>
      </c>
      <c r="I17" s="556">
        <f t="shared" ref="I17" si="18">IF(H$20&gt;0,H17*100/H$20,0)</f>
        <v>25.140999216776802</v>
      </c>
      <c r="J17" s="557">
        <v>132.61000000000001</v>
      </c>
      <c r="K17" s="556">
        <f t="shared" ref="K17" si="19">IF(J$20&gt;0,J17*100/J$20,0)</f>
        <v>12.331317324287332</v>
      </c>
      <c r="L17" s="208">
        <f t="shared" si="10"/>
        <v>1915.0900000000001</v>
      </c>
      <c r="M17" s="558">
        <f t="shared" si="15"/>
        <v>23.453934779081052</v>
      </c>
      <c r="N17" s="559">
        <f t="shared" si="7"/>
        <v>98.818312365743708</v>
      </c>
    </row>
    <row r="18" spans="1:14" ht="14.1" customHeight="1" x14ac:dyDescent="0.25">
      <c r="A18" s="201" t="s">
        <v>242</v>
      </c>
      <c r="B18" s="555">
        <v>155.85900000000001</v>
      </c>
      <c r="C18" s="556">
        <f t="shared" si="11"/>
        <v>2.3922311082596663</v>
      </c>
      <c r="D18" s="557">
        <v>9.1920000000000002</v>
      </c>
      <c r="E18" s="556">
        <f t="shared" si="11"/>
        <v>0.9159155269204633</v>
      </c>
      <c r="F18" s="208">
        <f t="shared" si="9"/>
        <v>165.05100000000002</v>
      </c>
      <c r="G18" s="556">
        <f t="shared" si="12"/>
        <v>2.19517712997059</v>
      </c>
      <c r="H18" s="555">
        <v>165.35400000000001</v>
      </c>
      <c r="I18" s="556">
        <f t="shared" ref="I18" si="20">IF(H$20&gt;0,H18*100/H$20,0)</f>
        <v>2.3322364259295543</v>
      </c>
      <c r="J18" s="557">
        <v>9.8109999999999999</v>
      </c>
      <c r="K18" s="556">
        <f t="shared" ref="K18" si="21">IF(J$20&gt;0,J18*100/J$20,0)</f>
        <v>0.91231848479438193</v>
      </c>
      <c r="L18" s="208">
        <f t="shared" si="10"/>
        <v>175.16500000000002</v>
      </c>
      <c r="M18" s="558">
        <f t="shared" si="15"/>
        <v>2.1452299816602527</v>
      </c>
      <c r="N18" s="559">
        <f t="shared" si="7"/>
        <v>106.12780292152124</v>
      </c>
    </row>
    <row r="19" spans="1:14" ht="14.1" customHeight="1" x14ac:dyDescent="0.25">
      <c r="A19" s="562" t="s">
        <v>41</v>
      </c>
      <c r="B19" s="563">
        <f>SUM(B14:B18)</f>
        <v>2432.5499999999997</v>
      </c>
      <c r="C19" s="564">
        <f>SUM(C14:C18)</f>
        <v>37.336450140171884</v>
      </c>
      <c r="D19" s="565">
        <f>SUM(D14:D18)</f>
        <v>236.43900000000002</v>
      </c>
      <c r="E19" s="564">
        <f>SUM(E14:E18)</f>
        <v>23.559415934459032</v>
      </c>
      <c r="F19" s="565">
        <f t="shared" ref="F19:L19" si="22">SUM(F14:F18)</f>
        <v>2668.989</v>
      </c>
      <c r="G19" s="564">
        <f>SUM(G14:G18)</f>
        <v>35.497534779813961</v>
      </c>
      <c r="H19" s="563">
        <f t="shared" si="22"/>
        <v>2379.3599999999997</v>
      </c>
      <c r="I19" s="564">
        <f t="shared" si="22"/>
        <v>33.559696544382014</v>
      </c>
      <c r="J19" s="565">
        <f t="shared" si="22"/>
        <v>245.27400000000003</v>
      </c>
      <c r="K19" s="564">
        <f>SUM(K14:K18)</f>
        <v>22.807869130512412</v>
      </c>
      <c r="L19" s="565">
        <f t="shared" si="22"/>
        <v>2624.634</v>
      </c>
      <c r="M19" s="566">
        <f>SUM(M14:M18)</f>
        <v>32.143656253731479</v>
      </c>
      <c r="N19" s="567">
        <f t="shared" si="7"/>
        <v>98.338134776876188</v>
      </c>
    </row>
    <row r="20" spans="1:14" s="2" customFormat="1" ht="14.1" customHeight="1" thickBot="1" x14ac:dyDescent="0.3">
      <c r="A20" s="570" t="s">
        <v>135</v>
      </c>
      <c r="B20" s="571">
        <f>B19+B12</f>
        <v>6515.2150000000001</v>
      </c>
      <c r="C20" s="572">
        <f>C19+C12</f>
        <v>99.999999999999986</v>
      </c>
      <c r="D20" s="573">
        <f>D19+D12</f>
        <v>1003.586</v>
      </c>
      <c r="E20" s="572">
        <f>E19+E12</f>
        <v>100</v>
      </c>
      <c r="F20" s="573">
        <f t="shared" ref="F20:L20" si="23">F19+F12</f>
        <v>7518.8009999999995</v>
      </c>
      <c r="G20" s="572">
        <f>G19+G12</f>
        <v>100</v>
      </c>
      <c r="H20" s="571">
        <f t="shared" si="23"/>
        <v>7089.933</v>
      </c>
      <c r="I20" s="572">
        <f t="shared" si="23"/>
        <v>100</v>
      </c>
      <c r="J20" s="573">
        <f t="shared" si="23"/>
        <v>1075.3920000000001</v>
      </c>
      <c r="K20" s="572">
        <f t="shared" si="23"/>
        <v>100</v>
      </c>
      <c r="L20" s="573">
        <f t="shared" si="23"/>
        <v>8165.3250000000007</v>
      </c>
      <c r="M20" s="574">
        <f>M19+M12</f>
        <v>100</v>
      </c>
      <c r="N20" s="575">
        <f t="shared" si="7"/>
        <v>108.59876461685849</v>
      </c>
    </row>
    <row r="21" spans="1:14" s="14" customForma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54"/>
    </row>
    <row r="22" spans="1:14" s="14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54"/>
    </row>
  </sheetData>
  <customSheetViews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9" orientation="portrait" verticalDpi="0" r:id="rId3"/>
  <colBreaks count="1" manualBreakCount="1">
    <brk id="14" max="1048575" man="1"/>
  </colBreaks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I17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480" bestFit="1" customWidth="1"/>
    <col min="2" max="2" width="9.140625" style="480"/>
    <col min="3" max="3" width="5" style="480" bestFit="1" customWidth="1"/>
    <col min="4" max="4" width="9.140625" style="480"/>
    <col min="5" max="5" width="5" style="480" bestFit="1" customWidth="1"/>
    <col min="6" max="6" width="9.140625" style="480"/>
    <col min="7" max="7" width="5" style="480" bestFit="1" customWidth="1"/>
    <col min="8" max="8" width="10.5703125" style="480" customWidth="1"/>
  </cols>
  <sheetData>
    <row r="1" spans="1:8" s="49" customFormat="1" ht="14.45" hidden="1" customHeight="1" x14ac:dyDescent="0.25">
      <c r="A1" s="480"/>
      <c r="B1" s="480"/>
      <c r="C1" s="480"/>
      <c r="D1" s="480"/>
      <c r="E1" s="480"/>
      <c r="F1" s="480"/>
      <c r="G1" s="480"/>
      <c r="H1" s="480"/>
    </row>
    <row r="2" spans="1:8" s="14" customFormat="1" x14ac:dyDescent="0.25">
      <c r="A2" s="480"/>
      <c r="B2" s="480"/>
      <c r="C2" s="480"/>
      <c r="D2" s="480"/>
      <c r="E2" s="480"/>
      <c r="F2" s="480"/>
      <c r="G2" s="480"/>
      <c r="H2" s="480"/>
    </row>
    <row r="3" spans="1:8" x14ac:dyDescent="0.25">
      <c r="A3" s="479" t="s">
        <v>337</v>
      </c>
      <c r="B3" s="479"/>
      <c r="C3" s="479"/>
      <c r="D3" s="479"/>
      <c r="E3" s="479"/>
      <c r="F3" s="479"/>
      <c r="G3" s="479"/>
      <c r="H3" s="438" t="s">
        <v>400</v>
      </c>
    </row>
    <row r="4" spans="1:8" x14ac:dyDescent="0.25">
      <c r="A4" s="766" t="s">
        <v>12</v>
      </c>
      <c r="B4" s="791" t="s">
        <v>531</v>
      </c>
      <c r="C4" s="792"/>
      <c r="D4" s="791" t="s">
        <v>532</v>
      </c>
      <c r="E4" s="792"/>
      <c r="F4" s="791" t="s">
        <v>533</v>
      </c>
      <c r="G4" s="792"/>
      <c r="H4" s="781" t="s">
        <v>11</v>
      </c>
    </row>
    <row r="5" spans="1:8" x14ac:dyDescent="0.25">
      <c r="A5" s="767"/>
      <c r="B5" s="447" t="s">
        <v>2</v>
      </c>
      <c r="C5" s="448" t="s">
        <v>3</v>
      </c>
      <c r="D5" s="447" t="s">
        <v>2</v>
      </c>
      <c r="E5" s="448" t="s">
        <v>3</v>
      </c>
      <c r="F5" s="447" t="s">
        <v>2</v>
      </c>
      <c r="G5" s="448" t="s">
        <v>3</v>
      </c>
      <c r="H5" s="790"/>
    </row>
    <row r="6" spans="1:8" s="11" customFormat="1" ht="14.1" customHeight="1" x14ac:dyDescent="0.25">
      <c r="A6" s="188" t="s">
        <v>46</v>
      </c>
      <c r="B6" s="457">
        <f>SUM(B7:B15)</f>
        <v>1063.7660000000001</v>
      </c>
      <c r="C6" s="576">
        <f>SUM(C7:C15)</f>
        <v>100</v>
      </c>
      <c r="D6" s="457">
        <f t="shared" ref="D6:G6" si="0">SUM(D7:D15)</f>
        <v>1129.2849999999999</v>
      </c>
      <c r="E6" s="576">
        <f>SUM(E7:E15)</f>
        <v>100.00000000000001</v>
      </c>
      <c r="F6" s="457">
        <f t="shared" si="0"/>
        <v>1085.2650000000001</v>
      </c>
      <c r="G6" s="576">
        <f t="shared" si="0"/>
        <v>99.999999999999986</v>
      </c>
      <c r="H6" s="127">
        <f>IF(D6&lt;&gt;0,F6/D6*100,"-")</f>
        <v>96.101958318759245</v>
      </c>
    </row>
    <row r="7" spans="1:8" s="583" customFormat="1" ht="15" customHeight="1" x14ac:dyDescent="0.25">
      <c r="A7" s="577" t="s">
        <v>408</v>
      </c>
      <c r="B7" s="443">
        <v>550.79200000000003</v>
      </c>
      <c r="C7" s="578">
        <f>IF(B$6&lt;&gt;0,B7*100/B$6,0)</f>
        <v>51.77755258205282</v>
      </c>
      <c r="D7" s="443">
        <v>610.50699999999995</v>
      </c>
      <c r="E7" s="578">
        <f t="shared" ref="E7:E15" si="1">IF(D$6&lt;&gt;0,D7*100/D$6,0)</f>
        <v>54.061375117884332</v>
      </c>
      <c r="F7" s="443">
        <v>545.53200000000004</v>
      </c>
      <c r="G7" s="578">
        <f t="shared" ref="G7:G15" si="2">IF(F$6&lt;&gt;0,F7*100/F$6,0)</f>
        <v>50.267169769595441</v>
      </c>
      <c r="H7" s="126">
        <f t="shared" ref="H7:H17" si="3">IF(D7&lt;&gt;0,F7/D7*100,"-")</f>
        <v>89.357206387477959</v>
      </c>
    </row>
    <row r="8" spans="1:8" s="583" customFormat="1" ht="15" customHeight="1" x14ac:dyDescent="0.25">
      <c r="A8" s="577" t="s">
        <v>409</v>
      </c>
      <c r="B8" s="443">
        <v>0</v>
      </c>
      <c r="C8" s="578">
        <f t="shared" ref="C8:C15" si="4">IF($B$6&lt;&gt;0,B8*100/$B$6,0)</f>
        <v>0</v>
      </c>
      <c r="D8" s="443">
        <v>0</v>
      </c>
      <c r="E8" s="578">
        <f t="shared" si="1"/>
        <v>0</v>
      </c>
      <c r="F8" s="443">
        <v>0</v>
      </c>
      <c r="G8" s="578">
        <f t="shared" si="2"/>
        <v>0</v>
      </c>
      <c r="H8" s="126" t="str">
        <f t="shared" si="3"/>
        <v>-</v>
      </c>
    </row>
    <row r="9" spans="1:8" s="583" customFormat="1" ht="15" customHeight="1" x14ac:dyDescent="0.25">
      <c r="A9" s="577" t="s">
        <v>410</v>
      </c>
      <c r="B9" s="443">
        <v>4.3659999999999997</v>
      </c>
      <c r="C9" s="578">
        <f t="shared" si="4"/>
        <v>0.41042860929941355</v>
      </c>
      <c r="D9" s="443">
        <v>2.7269999999999999</v>
      </c>
      <c r="E9" s="578">
        <f t="shared" si="1"/>
        <v>0.24148022864024585</v>
      </c>
      <c r="F9" s="443">
        <v>2.0779999999999998</v>
      </c>
      <c r="G9" s="578">
        <f t="shared" si="2"/>
        <v>0.19147397179490719</v>
      </c>
      <c r="H9" s="126">
        <f t="shared" si="3"/>
        <v>76.2009534286762</v>
      </c>
    </row>
    <row r="10" spans="1:8" s="583" customFormat="1" ht="15" customHeight="1" x14ac:dyDescent="0.25">
      <c r="A10" s="577" t="s">
        <v>411</v>
      </c>
      <c r="B10" s="443">
        <v>0</v>
      </c>
      <c r="C10" s="578">
        <f t="shared" si="4"/>
        <v>0</v>
      </c>
      <c r="D10" s="443">
        <v>0</v>
      </c>
      <c r="E10" s="578">
        <f t="shared" si="1"/>
        <v>0</v>
      </c>
      <c r="F10" s="443">
        <v>0</v>
      </c>
      <c r="G10" s="578">
        <f t="shared" si="2"/>
        <v>0</v>
      </c>
      <c r="H10" s="126" t="str">
        <f t="shared" si="3"/>
        <v>-</v>
      </c>
    </row>
    <row r="11" spans="1:8" s="583" customFormat="1" ht="15" customHeight="1" x14ac:dyDescent="0.25">
      <c r="A11" s="577" t="s">
        <v>283</v>
      </c>
      <c r="B11" s="443">
        <v>508.11799999999999</v>
      </c>
      <c r="C11" s="578">
        <f t="shared" si="4"/>
        <v>47.765956046724561</v>
      </c>
      <c r="D11" s="443">
        <v>514.73599999999999</v>
      </c>
      <c r="E11" s="578">
        <f t="shared" si="1"/>
        <v>45.580699292029919</v>
      </c>
      <c r="F11" s="443">
        <v>536.94799999999998</v>
      </c>
      <c r="G11" s="578">
        <f t="shared" si="2"/>
        <v>49.47621087937047</v>
      </c>
      <c r="H11" s="126">
        <f t="shared" si="3"/>
        <v>104.31522178359391</v>
      </c>
    </row>
    <row r="12" spans="1:8" s="583" customFormat="1" ht="15" customHeight="1" x14ac:dyDescent="0.25">
      <c r="A12" s="577" t="s">
        <v>412</v>
      </c>
      <c r="B12" s="443">
        <v>6.4000000000000001E-2</v>
      </c>
      <c r="C12" s="578">
        <f t="shared" si="4"/>
        <v>6.0163607409900299E-3</v>
      </c>
      <c r="D12" s="443">
        <v>6.4000000000000001E-2</v>
      </c>
      <c r="E12" s="578">
        <f t="shared" si="1"/>
        <v>5.6673027623673393E-3</v>
      </c>
      <c r="F12" s="443">
        <v>6.4000000000000001E-2</v>
      </c>
      <c r="G12" s="578">
        <f t="shared" si="2"/>
        <v>5.8971771871386249E-3</v>
      </c>
      <c r="H12" s="126">
        <f t="shared" si="3"/>
        <v>100</v>
      </c>
    </row>
    <row r="13" spans="1:8" s="583" customFormat="1" ht="15" customHeight="1" x14ac:dyDescent="0.25">
      <c r="A13" s="577" t="s">
        <v>413</v>
      </c>
      <c r="B13" s="443">
        <v>0</v>
      </c>
      <c r="C13" s="578">
        <f t="shared" si="4"/>
        <v>0</v>
      </c>
      <c r="D13" s="443">
        <v>0</v>
      </c>
      <c r="E13" s="578">
        <f t="shared" si="1"/>
        <v>0</v>
      </c>
      <c r="F13" s="443">
        <v>0</v>
      </c>
      <c r="G13" s="578">
        <f t="shared" si="2"/>
        <v>0</v>
      </c>
      <c r="H13" s="126" t="str">
        <f t="shared" si="3"/>
        <v>-</v>
      </c>
    </row>
    <row r="14" spans="1:8" s="583" customFormat="1" ht="15" customHeight="1" x14ac:dyDescent="0.25">
      <c r="A14" s="577" t="s">
        <v>414</v>
      </c>
      <c r="B14" s="443">
        <v>0</v>
      </c>
      <c r="C14" s="578">
        <f t="shared" si="4"/>
        <v>0</v>
      </c>
      <c r="D14" s="443">
        <v>0</v>
      </c>
      <c r="E14" s="578">
        <f t="shared" si="1"/>
        <v>0</v>
      </c>
      <c r="F14" s="443">
        <v>0</v>
      </c>
      <c r="G14" s="578">
        <f t="shared" si="2"/>
        <v>0</v>
      </c>
      <c r="H14" s="126" t="str">
        <f t="shared" si="3"/>
        <v>-</v>
      </c>
    </row>
    <row r="15" spans="1:8" s="583" customFormat="1" ht="15" customHeight="1" x14ac:dyDescent="0.25">
      <c r="A15" s="577" t="s">
        <v>415</v>
      </c>
      <c r="B15" s="443">
        <v>0.42599999999999999</v>
      </c>
      <c r="C15" s="578">
        <f t="shared" si="4"/>
        <v>4.0046401182214884E-2</v>
      </c>
      <c r="D15" s="443">
        <v>1.2509999999999999</v>
      </c>
      <c r="E15" s="578">
        <f t="shared" si="1"/>
        <v>0.11077805868314908</v>
      </c>
      <c r="F15" s="443">
        <v>0.64300000000000002</v>
      </c>
      <c r="G15" s="578">
        <f t="shared" si="2"/>
        <v>5.9248202052033364E-2</v>
      </c>
      <c r="H15" s="126">
        <f t="shared" si="3"/>
        <v>51.398880895283781</v>
      </c>
    </row>
    <row r="16" spans="1:8" s="583" customFormat="1" ht="15" customHeight="1" x14ac:dyDescent="0.25">
      <c r="A16" s="189" t="s">
        <v>47</v>
      </c>
      <c r="B16" s="579">
        <v>72.387</v>
      </c>
      <c r="C16" s="449"/>
      <c r="D16" s="579">
        <v>83.355999999999995</v>
      </c>
      <c r="E16" s="449"/>
      <c r="F16" s="579">
        <v>77.22</v>
      </c>
      <c r="G16" s="449"/>
      <c r="H16" s="127">
        <f t="shared" si="3"/>
        <v>92.638802245789151</v>
      </c>
    </row>
    <row r="17" spans="1:9" s="12" customFormat="1" ht="14.1" customHeight="1" thickBot="1" x14ac:dyDescent="0.3">
      <c r="A17" s="190" t="s">
        <v>48</v>
      </c>
      <c r="B17" s="580">
        <f>SUM(B7:B16)</f>
        <v>1136.153</v>
      </c>
      <c r="C17" s="581"/>
      <c r="D17" s="580">
        <f t="shared" ref="D17" si="5">SUM(D7:D16)</f>
        <v>1212.6409999999998</v>
      </c>
      <c r="E17" s="581"/>
      <c r="F17" s="580">
        <f>SUM(F7:F16)</f>
        <v>1162.4850000000001</v>
      </c>
      <c r="G17" s="581"/>
      <c r="H17" s="582">
        <f t="shared" si="3"/>
        <v>95.863903661512367</v>
      </c>
      <c r="I17" s="11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 topLeftCell="A4">
      <selection activeCell="E21" sqref="E2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R22"/>
  <sheetViews>
    <sheetView topLeftCell="A2" zoomScaleNormal="100" workbookViewId="0">
      <selection activeCell="A3" sqref="A3"/>
    </sheetView>
  </sheetViews>
  <sheetFormatPr defaultRowHeight="15" x14ac:dyDescent="0.25"/>
  <cols>
    <col min="1" max="1" width="26.140625" style="49" customWidth="1"/>
    <col min="2" max="2" width="9.7109375" style="49" customWidth="1"/>
    <col min="3" max="3" width="6.7109375" style="49" customWidth="1"/>
    <col min="4" max="4" width="9.7109375" style="49" customWidth="1"/>
    <col min="5" max="5" width="6.7109375" style="49" customWidth="1"/>
    <col min="6" max="6" width="9.7109375" style="49" customWidth="1"/>
    <col min="7" max="7" width="6.7109375" style="49" customWidth="1"/>
    <col min="8" max="8" width="14.5703125" style="49" customWidth="1"/>
    <col min="11" max="11" width="37.140625" style="14" customWidth="1"/>
    <col min="12" max="12" width="10.28515625" style="14" bestFit="1" customWidth="1"/>
    <col min="13" max="13" width="5.7109375" style="14" customWidth="1"/>
    <col min="14" max="14" width="9.28515625" style="14" bestFit="1" customWidth="1"/>
    <col min="15" max="15" width="5.7109375" style="14" customWidth="1"/>
    <col min="16" max="16" width="10.28515625" style="14" bestFit="1" customWidth="1"/>
    <col min="17" max="17" width="5.7109375" style="14" customWidth="1"/>
    <col min="18" max="18" width="5.28515625" style="14" customWidth="1"/>
  </cols>
  <sheetData>
    <row r="1" spans="1:11" s="49" customFormat="1" hidden="1" x14ac:dyDescent="0.25"/>
    <row r="2" spans="1:11" s="14" customFormat="1" x14ac:dyDescent="0.25">
      <c r="A2" s="49"/>
      <c r="B2" s="49"/>
      <c r="C2" s="49"/>
      <c r="D2" s="49"/>
      <c r="E2" s="49"/>
      <c r="F2" s="49"/>
      <c r="G2" s="49"/>
      <c r="H2" s="49"/>
      <c r="K2" s="28"/>
    </row>
    <row r="3" spans="1:11" x14ac:dyDescent="0.25">
      <c r="A3" s="81" t="s">
        <v>338</v>
      </c>
      <c r="B3" s="81"/>
      <c r="C3" s="81"/>
      <c r="D3" s="81"/>
      <c r="E3" s="81"/>
      <c r="F3" s="81"/>
      <c r="G3" s="81"/>
      <c r="H3" s="438" t="s">
        <v>400</v>
      </c>
    </row>
    <row r="4" spans="1:11" x14ac:dyDescent="0.25">
      <c r="A4" s="794" t="s">
        <v>12</v>
      </c>
      <c r="B4" s="791" t="s">
        <v>531</v>
      </c>
      <c r="C4" s="792"/>
      <c r="D4" s="791" t="s">
        <v>532</v>
      </c>
      <c r="E4" s="792"/>
      <c r="F4" s="791" t="s">
        <v>533</v>
      </c>
      <c r="G4" s="792"/>
      <c r="H4" s="793" t="s">
        <v>11</v>
      </c>
    </row>
    <row r="5" spans="1:11" x14ac:dyDescent="0.25">
      <c r="A5" s="795"/>
      <c r="B5" s="447" t="s">
        <v>2</v>
      </c>
      <c r="C5" s="448" t="s">
        <v>3</v>
      </c>
      <c r="D5" s="447" t="s">
        <v>2</v>
      </c>
      <c r="E5" s="448" t="s">
        <v>3</v>
      </c>
      <c r="F5" s="447" t="s">
        <v>2</v>
      </c>
      <c r="G5" s="456" t="s">
        <v>3</v>
      </c>
      <c r="H5" s="784"/>
    </row>
    <row r="6" spans="1:11" s="1" customFormat="1" ht="14.1" customHeight="1" x14ac:dyDescent="0.25">
      <c r="A6" s="123" t="s">
        <v>49</v>
      </c>
      <c r="B6" s="457"/>
      <c r="C6" s="449"/>
      <c r="D6" s="457"/>
      <c r="E6" s="449"/>
      <c r="F6" s="457"/>
      <c r="G6" s="449"/>
      <c r="H6" s="127"/>
    </row>
    <row r="7" spans="1:11" x14ac:dyDescent="0.25">
      <c r="A7" s="85" t="s">
        <v>50</v>
      </c>
      <c r="B7" s="450">
        <v>140.845</v>
      </c>
      <c r="C7" s="446">
        <f>IF($B$22&lt;&gt;0,ROUND(B7*100/$B$22,1),0)</f>
        <v>7.5</v>
      </c>
      <c r="D7" s="450">
        <v>169.13</v>
      </c>
      <c r="E7" s="446">
        <f>IF($D$22&lt;&gt;0,ROUND(D7*100/$D$22,1),0)</f>
        <v>8.8000000000000007</v>
      </c>
      <c r="F7" s="450">
        <v>184.50200000000001</v>
      </c>
      <c r="G7" s="446">
        <f>IF($F$22&lt;&gt;0,ROUND(F7*100/$F$22,1),0)</f>
        <v>7.8</v>
      </c>
      <c r="H7" s="72">
        <f>IF(D7&lt;&gt;0,F7/D7*100,"-")</f>
        <v>109.08886655235619</v>
      </c>
    </row>
    <row r="8" spans="1:11" x14ac:dyDescent="0.25">
      <c r="A8" s="85" t="s">
        <v>51</v>
      </c>
      <c r="B8" s="450">
        <v>1318.9960000000001</v>
      </c>
      <c r="C8" s="446">
        <f t="shared" ref="C8:C12" si="0">IF($B$22&lt;&gt;0,ROUND(B8*100/$B$22,1),0)</f>
        <v>69.900000000000006</v>
      </c>
      <c r="D8" s="450">
        <v>1324.675</v>
      </c>
      <c r="E8" s="446">
        <f t="shared" ref="E8:E12" si="1">IF($D$22&lt;&gt;0,ROUND(D8*100/$D$22,1),0)</f>
        <v>69</v>
      </c>
      <c r="F8" s="450">
        <v>1598.346</v>
      </c>
      <c r="G8" s="446">
        <f t="shared" ref="G8:G12" si="2">IF($F$22&lt;&gt;0,ROUND(F8*100/$F$22,1),0)</f>
        <v>67.400000000000006</v>
      </c>
      <c r="H8" s="72">
        <f t="shared" ref="H8:H13" si="3">IF(D8&lt;&gt;0,F8/D8*100,"-")</f>
        <v>120.65948251457905</v>
      </c>
    </row>
    <row r="9" spans="1:11" ht="24" x14ac:dyDescent="0.25">
      <c r="A9" s="85" t="s">
        <v>52</v>
      </c>
      <c r="B9" s="450">
        <v>0.47</v>
      </c>
      <c r="C9" s="446">
        <f t="shared" si="0"/>
        <v>0</v>
      </c>
      <c r="D9" s="450">
        <v>1.0169999999999999</v>
      </c>
      <c r="E9" s="446">
        <f t="shared" si="1"/>
        <v>0.1</v>
      </c>
      <c r="F9" s="450">
        <v>4.101</v>
      </c>
      <c r="G9" s="446">
        <f t="shared" si="2"/>
        <v>0.2</v>
      </c>
      <c r="H9" s="72">
        <f t="shared" si="3"/>
        <v>403.24483775811217</v>
      </c>
    </row>
    <row r="10" spans="1:11" ht="24" x14ac:dyDescent="0.25">
      <c r="A10" s="85" t="s">
        <v>53</v>
      </c>
      <c r="B10" s="450">
        <v>0</v>
      </c>
      <c r="C10" s="446">
        <f t="shared" si="0"/>
        <v>0</v>
      </c>
      <c r="D10" s="450">
        <v>0</v>
      </c>
      <c r="E10" s="446">
        <f t="shared" si="1"/>
        <v>0</v>
      </c>
      <c r="F10" s="450">
        <v>0</v>
      </c>
      <c r="G10" s="446">
        <f t="shared" si="2"/>
        <v>0</v>
      </c>
      <c r="H10" s="72" t="str">
        <f t="shared" si="3"/>
        <v>-</v>
      </c>
    </row>
    <row r="11" spans="1:11" ht="24" x14ac:dyDescent="0.25">
      <c r="A11" s="85" t="s">
        <v>54</v>
      </c>
      <c r="B11" s="450">
        <v>0</v>
      </c>
      <c r="C11" s="446">
        <f t="shared" si="0"/>
        <v>0</v>
      </c>
      <c r="D11" s="450">
        <v>0</v>
      </c>
      <c r="E11" s="446">
        <f t="shared" si="1"/>
        <v>0</v>
      </c>
      <c r="F11" s="450">
        <v>0</v>
      </c>
      <c r="G11" s="446">
        <f t="shared" si="2"/>
        <v>0</v>
      </c>
      <c r="H11" s="72" t="str">
        <f t="shared" si="3"/>
        <v>-</v>
      </c>
    </row>
    <row r="12" spans="1:11" x14ac:dyDescent="0.25">
      <c r="A12" s="85" t="s">
        <v>55</v>
      </c>
      <c r="B12" s="450">
        <v>0</v>
      </c>
      <c r="C12" s="446">
        <f t="shared" si="0"/>
        <v>0</v>
      </c>
      <c r="D12" s="450">
        <v>0</v>
      </c>
      <c r="E12" s="446">
        <f t="shared" si="1"/>
        <v>0</v>
      </c>
      <c r="F12" s="450">
        <v>0</v>
      </c>
      <c r="G12" s="446">
        <f t="shared" si="2"/>
        <v>0</v>
      </c>
      <c r="H12" s="72" t="str">
        <f t="shared" si="3"/>
        <v>-</v>
      </c>
    </row>
    <row r="13" spans="1:11" x14ac:dyDescent="0.25">
      <c r="A13" s="174" t="s">
        <v>192</v>
      </c>
      <c r="B13" s="451">
        <f>SUM(B7:B12)</f>
        <v>1460.3110000000001</v>
      </c>
      <c r="C13" s="452">
        <f t="shared" ref="C13:G13" si="4">SUM(C7:C12)</f>
        <v>77.400000000000006</v>
      </c>
      <c r="D13" s="451">
        <f t="shared" si="4"/>
        <v>1494.8219999999999</v>
      </c>
      <c r="E13" s="452">
        <f t="shared" si="4"/>
        <v>77.899999999999991</v>
      </c>
      <c r="F13" s="451">
        <f t="shared" si="4"/>
        <v>1786.9490000000001</v>
      </c>
      <c r="G13" s="452">
        <f t="shared" si="4"/>
        <v>75.400000000000006</v>
      </c>
      <c r="H13" s="74">
        <f t="shared" si="3"/>
        <v>119.54259436909547</v>
      </c>
    </row>
    <row r="14" spans="1:11" x14ac:dyDescent="0.25">
      <c r="A14" s="123" t="s">
        <v>56</v>
      </c>
      <c r="B14" s="457"/>
      <c r="C14" s="446"/>
      <c r="D14" s="457"/>
      <c r="E14" s="446"/>
      <c r="F14" s="457"/>
      <c r="G14" s="446"/>
      <c r="H14" s="72"/>
    </row>
    <row r="15" spans="1:11" x14ac:dyDescent="0.25">
      <c r="A15" s="85" t="s">
        <v>50</v>
      </c>
      <c r="B15" s="450">
        <v>118.348</v>
      </c>
      <c r="C15" s="446">
        <f t="shared" ref="C15:C20" si="5">IF($B$22&lt;&gt;0,ROUND(B15*100/$B$22,1),0)</f>
        <v>6.3</v>
      </c>
      <c r="D15" s="450">
        <v>95.63</v>
      </c>
      <c r="E15" s="446">
        <f t="shared" ref="E15:E20" si="6">IF($D$22&lt;&gt;0,ROUND(D15*100/$D$22,1),0)</f>
        <v>5</v>
      </c>
      <c r="F15" s="450">
        <v>77.587999999999994</v>
      </c>
      <c r="G15" s="446">
        <f t="shared" ref="G15:G20" si="7">IF($F$22&lt;&gt;0,ROUND(F15*100/$F$22,1),0)</f>
        <v>3.3</v>
      </c>
      <c r="H15" s="72">
        <f t="shared" ref="H15:H21" si="8">IF(D15&lt;&gt;0,F15/D15*100,"-")</f>
        <v>81.133535501411686</v>
      </c>
    </row>
    <row r="16" spans="1:11" s="48" customFormat="1" x14ac:dyDescent="0.25">
      <c r="A16" s="85" t="s">
        <v>51</v>
      </c>
      <c r="B16" s="450">
        <v>0</v>
      </c>
      <c r="C16" s="446">
        <f t="shared" si="5"/>
        <v>0</v>
      </c>
      <c r="D16" s="450">
        <v>0</v>
      </c>
      <c r="E16" s="446">
        <f t="shared" si="6"/>
        <v>0</v>
      </c>
      <c r="F16" s="450">
        <v>0</v>
      </c>
      <c r="G16" s="446">
        <f t="shared" si="7"/>
        <v>0</v>
      </c>
      <c r="H16" s="72" t="str">
        <f t="shared" si="8"/>
        <v>-</v>
      </c>
    </row>
    <row r="17" spans="1:9" s="48" customFormat="1" ht="24" x14ac:dyDescent="0.25">
      <c r="A17" s="85" t="s">
        <v>52</v>
      </c>
      <c r="B17" s="450">
        <v>15.337</v>
      </c>
      <c r="C17" s="446">
        <f t="shared" si="5"/>
        <v>0.8</v>
      </c>
      <c r="D17" s="450">
        <v>20.675000000000001</v>
      </c>
      <c r="E17" s="446">
        <f t="shared" si="6"/>
        <v>1.1000000000000001</v>
      </c>
      <c r="F17" s="450">
        <v>18.696000000000002</v>
      </c>
      <c r="G17" s="446">
        <f t="shared" si="7"/>
        <v>0.8</v>
      </c>
      <c r="H17" s="72">
        <f t="shared" si="8"/>
        <v>90.428053204353091</v>
      </c>
    </row>
    <row r="18" spans="1:9" s="48" customFormat="1" ht="24" x14ac:dyDescent="0.25">
      <c r="A18" s="85" t="s">
        <v>57</v>
      </c>
      <c r="B18" s="450">
        <v>292.53699999999998</v>
      </c>
      <c r="C18" s="446">
        <f t="shared" si="5"/>
        <v>15.5</v>
      </c>
      <c r="D18" s="450">
        <v>309.11500000000001</v>
      </c>
      <c r="E18" s="446">
        <f t="shared" si="6"/>
        <v>16.100000000000001</v>
      </c>
      <c r="F18" s="450">
        <v>487.60500000000002</v>
      </c>
      <c r="G18" s="446">
        <f t="shared" si="7"/>
        <v>20.6</v>
      </c>
      <c r="H18" s="72">
        <f t="shared" si="8"/>
        <v>157.74226420587806</v>
      </c>
    </row>
    <row r="19" spans="1:9" s="48" customFormat="1" ht="24" x14ac:dyDescent="0.25">
      <c r="A19" s="85" t="s">
        <v>54</v>
      </c>
      <c r="B19" s="450">
        <v>7.0000000000000001E-3</v>
      </c>
      <c r="C19" s="446">
        <f t="shared" si="5"/>
        <v>0</v>
      </c>
      <c r="D19" s="450">
        <v>0</v>
      </c>
      <c r="E19" s="446">
        <f t="shared" si="6"/>
        <v>0</v>
      </c>
      <c r="F19" s="450">
        <v>0</v>
      </c>
      <c r="G19" s="446">
        <f t="shared" si="7"/>
        <v>0</v>
      </c>
      <c r="H19" s="72" t="str">
        <f t="shared" si="8"/>
        <v>-</v>
      </c>
    </row>
    <row r="20" spans="1:9" s="48" customFormat="1" x14ac:dyDescent="0.25">
      <c r="A20" s="85" t="s">
        <v>55</v>
      </c>
      <c r="B20" s="450">
        <v>0</v>
      </c>
      <c r="C20" s="446">
        <f t="shared" si="5"/>
        <v>0</v>
      </c>
      <c r="D20" s="450">
        <v>0</v>
      </c>
      <c r="E20" s="446">
        <f t="shared" si="6"/>
        <v>0</v>
      </c>
      <c r="F20" s="450">
        <v>0</v>
      </c>
      <c r="G20" s="446">
        <f t="shared" si="7"/>
        <v>0</v>
      </c>
      <c r="H20" s="72" t="str">
        <f t="shared" si="8"/>
        <v>-</v>
      </c>
    </row>
    <row r="21" spans="1:9" s="48" customFormat="1" x14ac:dyDescent="0.25">
      <c r="A21" s="174" t="s">
        <v>64</v>
      </c>
      <c r="B21" s="451">
        <f>SUM(B15:B20)</f>
        <v>426.22899999999998</v>
      </c>
      <c r="C21" s="453">
        <f>IF($B$22&lt;&gt;0,B21*100/$B$22,0)</f>
        <v>22.593159964803288</v>
      </c>
      <c r="D21" s="451">
        <f>SUM(D15:D20)</f>
        <v>425.42</v>
      </c>
      <c r="E21" s="453">
        <f>IF($D$22&lt;&gt;0,D21*100/$D$22,0)</f>
        <v>22.154499276653674</v>
      </c>
      <c r="F21" s="451">
        <f>SUM(F15:F20)</f>
        <v>583.88900000000001</v>
      </c>
      <c r="G21" s="453">
        <f>IF($F$22&lt;&gt;0,F21*100/$F$22,0)</f>
        <v>24.627958553051705</v>
      </c>
      <c r="H21" s="74">
        <f t="shared" si="8"/>
        <v>137.25001175309106</v>
      </c>
    </row>
    <row r="22" spans="1:9" s="2" customFormat="1" ht="14.1" customHeight="1" thickBot="1" x14ac:dyDescent="0.3">
      <c r="A22" s="191" t="s">
        <v>515</v>
      </c>
      <c r="B22" s="454">
        <f t="shared" ref="B22:C22" si="9">B13+B21</f>
        <v>1886.5400000000002</v>
      </c>
      <c r="C22" s="455">
        <f t="shared" si="9"/>
        <v>99.993159964803297</v>
      </c>
      <c r="D22" s="454">
        <f>D13+D21</f>
        <v>1920.242</v>
      </c>
      <c r="E22" s="455">
        <f t="shared" ref="E22:G22" si="10">E13+E21</f>
        <v>100.05449927665367</v>
      </c>
      <c r="F22" s="454">
        <f t="shared" si="10"/>
        <v>2370.8380000000002</v>
      </c>
      <c r="G22" s="455">
        <f t="shared" si="10"/>
        <v>100.02795855305172</v>
      </c>
      <c r="H22" s="79">
        <f t="shared" ref="H22" si="11">IF(D22&lt;&gt;0,F22/D22*100,"")</f>
        <v>123.46558402534681</v>
      </c>
      <c r="I22"/>
    </row>
  </sheetData>
  <customSheetViews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21 E21" formula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I14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32.28515625" style="698" customWidth="1"/>
    <col min="2" max="2" width="10.85546875" style="698" customWidth="1"/>
    <col min="3" max="3" width="5.5703125" style="698" customWidth="1"/>
    <col min="4" max="4" width="11.28515625" style="698" customWidth="1"/>
    <col min="5" max="5" width="5.5703125" style="698" customWidth="1"/>
    <col min="6" max="6" width="10.5703125" style="698" customWidth="1"/>
    <col min="7" max="7" width="5.5703125" style="698" customWidth="1"/>
    <col min="8" max="8" width="6.85546875" style="698" customWidth="1"/>
    <col min="9" max="16384" width="9.140625" style="698"/>
  </cols>
  <sheetData>
    <row r="1" spans="1:9" ht="15" hidden="1" customHeight="1" x14ac:dyDescent="0.25">
      <c r="A1" s="197"/>
    </row>
    <row r="3" spans="1:9" x14ac:dyDescent="0.25">
      <c r="A3" s="81" t="s">
        <v>339</v>
      </c>
      <c r="B3" s="702"/>
      <c r="C3" s="702"/>
      <c r="D3" s="702"/>
      <c r="E3" s="702"/>
      <c r="F3" s="702"/>
      <c r="G3" s="702"/>
      <c r="H3" s="438" t="s">
        <v>400</v>
      </c>
    </row>
    <row r="4" spans="1:9" x14ac:dyDescent="0.25">
      <c r="A4" s="766" t="s">
        <v>12</v>
      </c>
      <c r="B4" s="768" t="s">
        <v>531</v>
      </c>
      <c r="C4" s="770"/>
      <c r="D4" s="768" t="s">
        <v>532</v>
      </c>
      <c r="E4" s="770"/>
      <c r="F4" s="768" t="s">
        <v>533</v>
      </c>
      <c r="G4" s="770"/>
      <c r="H4" s="777" t="s">
        <v>11</v>
      </c>
    </row>
    <row r="5" spans="1:9" x14ac:dyDescent="0.25">
      <c r="A5" s="767"/>
      <c r="B5" s="701" t="s">
        <v>2</v>
      </c>
      <c r="C5" s="142" t="s">
        <v>3</v>
      </c>
      <c r="D5" s="701" t="s">
        <v>2</v>
      </c>
      <c r="E5" s="142" t="s">
        <v>3</v>
      </c>
      <c r="F5" s="701" t="s">
        <v>2</v>
      </c>
      <c r="G5" s="142" t="s">
        <v>3</v>
      </c>
      <c r="H5" s="776"/>
    </row>
    <row r="6" spans="1:9" s="31" customFormat="1" ht="14.1" customHeight="1" x14ac:dyDescent="0.25">
      <c r="A6" s="85" t="s">
        <v>416</v>
      </c>
      <c r="B6" s="86">
        <v>653.90599999999995</v>
      </c>
      <c r="C6" s="740">
        <f>IF($B$14&lt;&gt;0,B6*100/$B$14,0)</f>
        <v>11.96908165093836</v>
      </c>
      <c r="D6" s="86">
        <v>683.86599999999999</v>
      </c>
      <c r="E6" s="740">
        <f>IF($D$14&lt;&gt;0,D6*100/$D$14,0)</f>
        <v>12.44794365728538</v>
      </c>
      <c r="F6" s="86">
        <v>656.27499999999998</v>
      </c>
      <c r="G6" s="740">
        <f>IF($F$14&lt;&gt;0,F6*100/$F$14,0)</f>
        <v>11.708326501877989</v>
      </c>
      <c r="H6" s="72">
        <f>IF(D6&lt;&gt;0,F6/D6*100,"-")</f>
        <v>95.965437673462333</v>
      </c>
    </row>
    <row r="7" spans="1:9" s="48" customFormat="1" ht="14.1" customHeight="1" x14ac:dyDescent="0.25">
      <c r="A7" s="85" t="s">
        <v>417</v>
      </c>
      <c r="B7" s="86">
        <v>254.09299999999999</v>
      </c>
      <c r="C7" s="740">
        <f>IF($B$14&lt;&gt;0,B7*100/$B$14,0)</f>
        <v>4.6509129201014838</v>
      </c>
      <c r="D7" s="86">
        <v>247.898</v>
      </c>
      <c r="E7" s="740">
        <f t="shared" ref="E7:E13" si="0">IF($D$14&lt;&gt;0,D7*100/$D$14,0)</f>
        <v>4.5123172328405428</v>
      </c>
      <c r="F7" s="86">
        <v>235.15100000000001</v>
      </c>
      <c r="G7" s="740">
        <f t="shared" ref="G7:G13" si="1">IF($F$14&lt;&gt;0,F7*100/$F$14,0)</f>
        <v>4.1952301782684263</v>
      </c>
      <c r="H7" s="72">
        <f>IF(D7&lt;&gt;0,F7/D7*100,"-")</f>
        <v>94.857965776246687</v>
      </c>
    </row>
    <row r="8" spans="1:9" s="48" customFormat="1" ht="14.1" customHeight="1" x14ac:dyDescent="0.25">
      <c r="A8" s="85" t="s">
        <v>418</v>
      </c>
      <c r="B8" s="86">
        <v>1982.1130000000001</v>
      </c>
      <c r="C8" s="740">
        <f t="shared" ref="C8:C13" si="2">IF($B$14&lt;&gt;0,B8*100/$B$14,0)</f>
        <v>36.280554603240205</v>
      </c>
      <c r="D8" s="86">
        <v>1916.645</v>
      </c>
      <c r="E8" s="740">
        <f t="shared" si="0"/>
        <v>34.887374092318865</v>
      </c>
      <c r="F8" s="86">
        <v>1952.838</v>
      </c>
      <c r="G8" s="740">
        <f t="shared" si="1"/>
        <v>34.839762156526469</v>
      </c>
      <c r="H8" s="72">
        <f>IF(D8&lt;&gt;0,F8/D8*100,"-")</f>
        <v>101.88835178136797</v>
      </c>
    </row>
    <row r="9" spans="1:9" s="48" customFormat="1" ht="14.1" customHeight="1" x14ac:dyDescent="0.25">
      <c r="A9" s="85" t="s">
        <v>419</v>
      </c>
      <c r="B9" s="86">
        <v>6.7930000000000001</v>
      </c>
      <c r="C9" s="740">
        <f t="shared" si="2"/>
        <v>0.12433892892070771</v>
      </c>
      <c r="D9" s="86">
        <v>6.3449999999999998</v>
      </c>
      <c r="E9" s="740">
        <f t="shared" si="0"/>
        <v>0.11549368224984972</v>
      </c>
      <c r="F9" s="86">
        <v>6.1550000000000002</v>
      </c>
      <c r="G9" s="740">
        <f t="shared" si="1"/>
        <v>0.10980876860928578</v>
      </c>
      <c r="H9" s="72">
        <f>IF(D9&lt;&gt;0,F9/D9*100,"-")</f>
        <v>97.005516154452337</v>
      </c>
    </row>
    <row r="10" spans="1:9" s="48" customFormat="1" ht="14.1" customHeight="1" x14ac:dyDescent="0.25">
      <c r="A10" s="85" t="s">
        <v>420</v>
      </c>
      <c r="B10" s="86">
        <v>0</v>
      </c>
      <c r="C10" s="740">
        <f t="shared" si="2"/>
        <v>0</v>
      </c>
      <c r="D10" s="86">
        <v>0</v>
      </c>
      <c r="E10" s="740">
        <f t="shared" si="0"/>
        <v>0</v>
      </c>
      <c r="F10" s="86">
        <v>0</v>
      </c>
      <c r="G10" s="740">
        <f t="shared" si="1"/>
        <v>0</v>
      </c>
      <c r="H10" s="72" t="str">
        <f t="shared" ref="H10:H13" si="3">IF(D10&lt;&gt;0,F10/D10*100,"-")</f>
        <v>-</v>
      </c>
    </row>
    <row r="11" spans="1:9" s="48" customFormat="1" ht="14.1" customHeight="1" x14ac:dyDescent="0.25">
      <c r="A11" s="85" t="s">
        <v>421</v>
      </c>
      <c r="B11" s="86">
        <v>53.337000000000003</v>
      </c>
      <c r="C11" s="740">
        <f t="shared" si="2"/>
        <v>0.97627932457585564</v>
      </c>
      <c r="D11" s="86">
        <v>56.411999999999999</v>
      </c>
      <c r="E11" s="740">
        <f t="shared" si="0"/>
        <v>1.0268289366554015</v>
      </c>
      <c r="F11" s="86">
        <v>47.279000000000003</v>
      </c>
      <c r="G11" s="740">
        <f t="shared" si="1"/>
        <v>0.84348477190551141</v>
      </c>
      <c r="H11" s="72">
        <f>IF(D11&lt;&gt;0,F11/D11*100,"-")</f>
        <v>83.810182230731058</v>
      </c>
    </row>
    <row r="12" spans="1:9" s="48" customFormat="1" ht="14.1" customHeight="1" x14ac:dyDescent="0.25">
      <c r="A12" s="85" t="s">
        <v>422</v>
      </c>
      <c r="B12" s="86">
        <v>2502.1010000000001</v>
      </c>
      <c r="C12" s="740">
        <f t="shared" si="2"/>
        <v>45.798404002860543</v>
      </c>
      <c r="D12" s="86">
        <v>2572.7579999999998</v>
      </c>
      <c r="E12" s="740">
        <f t="shared" si="0"/>
        <v>46.830148929512823</v>
      </c>
      <c r="F12" s="86">
        <v>2698.471</v>
      </c>
      <c r="G12" s="740">
        <f t="shared" si="1"/>
        <v>48.142287187305925</v>
      </c>
      <c r="H12" s="72">
        <f>IF(D12&lt;&gt;0,F12/D12*100,"-")</f>
        <v>104.88631266524098</v>
      </c>
    </row>
    <row r="13" spans="1:9" s="48" customFormat="1" ht="14.1" customHeight="1" x14ac:dyDescent="0.25">
      <c r="A13" s="85" t="s">
        <v>242</v>
      </c>
      <c r="B13" s="86">
        <v>10.95</v>
      </c>
      <c r="C13" s="740">
        <f t="shared" si="2"/>
        <v>0.20042856936283665</v>
      </c>
      <c r="D13" s="86">
        <v>9.8829999999999991</v>
      </c>
      <c r="E13" s="740">
        <f t="shared" si="0"/>
        <v>0.17989346913715756</v>
      </c>
      <c r="F13" s="86">
        <v>9.0299999999999994</v>
      </c>
      <c r="G13" s="740">
        <f t="shared" si="1"/>
        <v>0.16110043550639325</v>
      </c>
      <c r="H13" s="72">
        <f t="shared" si="3"/>
        <v>91.369017504806237</v>
      </c>
    </row>
    <row r="14" spans="1:9" s="140" customFormat="1" ht="14.1" customHeight="1" thickBot="1" x14ac:dyDescent="0.3">
      <c r="A14" s="143" t="s">
        <v>64</v>
      </c>
      <c r="B14" s="144">
        <f>SUM(B6:B13)</f>
        <v>5463.2930000000006</v>
      </c>
      <c r="C14" s="741">
        <f>SUM(C6:C13)</f>
        <v>99.999999999999986</v>
      </c>
      <c r="D14" s="144">
        <f>SUM(D6:D13)</f>
        <v>5493.8069999999989</v>
      </c>
      <c r="E14" s="741">
        <f>SUM(E6:E13)</f>
        <v>100.00000000000001</v>
      </c>
      <c r="F14" s="144">
        <f>SUM(F6:F13)</f>
        <v>5605.1989999999996</v>
      </c>
      <c r="G14" s="741">
        <f t="shared" ref="G14" si="4">SUM(G6:G13)</f>
        <v>100</v>
      </c>
      <c r="H14" s="145">
        <f>IF(D14&lt;&gt;0,F14/D14*100,"-")</f>
        <v>102.02759215968091</v>
      </c>
      <c r="I14" s="48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>
      <selection activeCell="H14" sqref="H1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AE14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22.85546875" style="49" customWidth="1"/>
    <col min="2" max="3" width="7.7109375" style="49" customWidth="1"/>
    <col min="4" max="4" width="5.85546875" style="49" customWidth="1"/>
    <col min="5" max="6" width="7.7109375" style="49" customWidth="1"/>
    <col min="7" max="7" width="6.42578125" style="49" customWidth="1"/>
    <col min="8" max="9" width="7.7109375" style="49" customWidth="1"/>
    <col min="10" max="10" width="7" style="49" customWidth="1"/>
    <col min="11" max="16384" width="8.7109375" style="4"/>
  </cols>
  <sheetData>
    <row r="1" spans="1:31" hidden="1" x14ac:dyDescent="0.25">
      <c r="A1" s="151"/>
      <c r="B1" s="50"/>
    </row>
    <row r="2" spans="1:31" x14ac:dyDescent="0.25">
      <c r="A2" s="197"/>
    </row>
    <row r="3" spans="1:31" x14ac:dyDescent="0.2">
      <c r="A3" s="81" t="s">
        <v>387</v>
      </c>
      <c r="B3" s="81"/>
      <c r="C3" s="81"/>
      <c r="D3" s="81"/>
      <c r="E3" s="81"/>
      <c r="F3" s="81"/>
      <c r="G3" s="81"/>
      <c r="H3" s="213"/>
      <c r="I3" s="800" t="s">
        <v>400</v>
      </c>
      <c r="J3" s="801" t="s">
        <v>13</v>
      </c>
    </row>
    <row r="4" spans="1:31" ht="24.75" customHeight="1" x14ac:dyDescent="0.2">
      <c r="A4" s="766" t="s">
        <v>12</v>
      </c>
      <c r="B4" s="797" t="s">
        <v>116</v>
      </c>
      <c r="C4" s="798"/>
      <c r="D4" s="798"/>
      <c r="E4" s="797" t="s">
        <v>59</v>
      </c>
      <c r="F4" s="798"/>
      <c r="G4" s="798" t="s">
        <v>30</v>
      </c>
      <c r="H4" s="797" t="s">
        <v>58</v>
      </c>
      <c r="I4" s="798"/>
      <c r="J4" s="799" t="s">
        <v>30</v>
      </c>
    </row>
    <row r="5" spans="1:31" ht="15" customHeight="1" x14ac:dyDescent="0.2">
      <c r="A5" s="796"/>
      <c r="B5" s="214" t="s">
        <v>532</v>
      </c>
      <c r="C5" s="215" t="s">
        <v>533</v>
      </c>
      <c r="D5" s="200" t="s">
        <v>11</v>
      </c>
      <c r="E5" s="214" t="s">
        <v>532</v>
      </c>
      <c r="F5" s="215" t="s">
        <v>533</v>
      </c>
      <c r="G5" s="200" t="s">
        <v>11</v>
      </c>
      <c r="H5" s="214" t="s">
        <v>532</v>
      </c>
      <c r="I5" s="215" t="s">
        <v>533</v>
      </c>
      <c r="J5" s="199" t="s">
        <v>11</v>
      </c>
    </row>
    <row r="6" spans="1:31" s="16" customFormat="1" ht="14.1" customHeight="1" x14ac:dyDescent="0.2">
      <c r="A6" s="201" t="s">
        <v>416</v>
      </c>
      <c r="B6" s="202">
        <v>6.3010000000000002</v>
      </c>
      <c r="C6" s="203">
        <v>5.2720000000000002</v>
      </c>
      <c r="D6" s="204">
        <f>IF(B6&lt;&gt;0,C6/B6*100,"-")</f>
        <v>83.669258847801942</v>
      </c>
      <c r="E6" s="202">
        <v>676.10400000000004</v>
      </c>
      <c r="F6" s="203">
        <v>650.16200000000003</v>
      </c>
      <c r="G6" s="205">
        <f>IF(E6&lt;&gt;0,F6/E6*100,"-")</f>
        <v>96.163016340681324</v>
      </c>
      <c r="H6" s="202">
        <v>1.4610000000000001</v>
      </c>
      <c r="I6" s="203">
        <v>0.84099999999999997</v>
      </c>
      <c r="J6" s="206">
        <f>IF(H6&lt;&gt;0,I6/H6*100,"-")</f>
        <v>57.563312799452426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6" customFormat="1" ht="14.1" customHeight="1" x14ac:dyDescent="0.2">
      <c r="A7" s="201" t="s">
        <v>417</v>
      </c>
      <c r="B7" s="207">
        <v>16.683</v>
      </c>
      <c r="C7" s="208">
        <v>15.823</v>
      </c>
      <c r="D7" s="206">
        <f t="shared" ref="D7:D14" si="0">IF(B7&lt;&gt;0,C7/B7*100,"-")</f>
        <v>94.845051849187797</v>
      </c>
      <c r="E7" s="207">
        <v>228.01599999999999</v>
      </c>
      <c r="F7" s="208">
        <v>216.46700000000001</v>
      </c>
      <c r="G7" s="205">
        <f t="shared" ref="G7:G14" si="1">IF(E7&lt;&gt;0,F7/E7*100,"-")</f>
        <v>94.935004561083446</v>
      </c>
      <c r="H7" s="207">
        <v>3.1989999999999998</v>
      </c>
      <c r="I7" s="208">
        <v>2.8610000000000002</v>
      </c>
      <c r="J7" s="206">
        <f t="shared" ref="J7:J14" si="2">IF(H7&lt;&gt;0,I7/H7*100,"-")</f>
        <v>89.434198186933429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21" customFormat="1" ht="14.1" customHeight="1" x14ac:dyDescent="0.2">
      <c r="A8" s="201" t="s">
        <v>418</v>
      </c>
      <c r="B8" s="207">
        <v>556.70399999999995</v>
      </c>
      <c r="C8" s="208">
        <v>592.44500000000005</v>
      </c>
      <c r="D8" s="206">
        <f t="shared" si="0"/>
        <v>106.42010835201474</v>
      </c>
      <c r="E8" s="207">
        <v>1231.394</v>
      </c>
      <c r="F8" s="208">
        <v>1243.05</v>
      </c>
      <c r="G8" s="205">
        <f t="shared" si="1"/>
        <v>100.94656949765874</v>
      </c>
      <c r="H8" s="207">
        <v>128.547</v>
      </c>
      <c r="I8" s="208">
        <v>117.343</v>
      </c>
      <c r="J8" s="206">
        <f t="shared" si="2"/>
        <v>91.284121760912356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6" customFormat="1" ht="14.1" customHeight="1" x14ac:dyDescent="0.2">
      <c r="A9" s="201" t="s">
        <v>419</v>
      </c>
      <c r="B9" s="207">
        <v>1.429</v>
      </c>
      <c r="C9" s="208">
        <v>0.65300000000000002</v>
      </c>
      <c r="D9" s="206">
        <f t="shared" si="0"/>
        <v>45.696291112666202</v>
      </c>
      <c r="E9" s="207">
        <v>4.8559999999999999</v>
      </c>
      <c r="F9" s="208">
        <v>5.4480000000000004</v>
      </c>
      <c r="G9" s="205">
        <f t="shared" si="1"/>
        <v>112.19110378912687</v>
      </c>
      <c r="H9" s="207">
        <v>0.06</v>
      </c>
      <c r="I9" s="208">
        <v>5.3999999999999999E-2</v>
      </c>
      <c r="J9" s="206">
        <f t="shared" si="2"/>
        <v>90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21" customFormat="1" ht="14.1" customHeight="1" x14ac:dyDescent="0.2">
      <c r="A10" s="201" t="s">
        <v>420</v>
      </c>
      <c r="B10" s="207">
        <v>0</v>
      </c>
      <c r="C10" s="208">
        <v>0</v>
      </c>
      <c r="D10" s="206" t="str">
        <f t="shared" si="0"/>
        <v>-</v>
      </c>
      <c r="E10" s="207">
        <v>0</v>
      </c>
      <c r="F10" s="208">
        <v>0</v>
      </c>
      <c r="G10" s="205" t="str">
        <f t="shared" si="1"/>
        <v>-</v>
      </c>
      <c r="H10" s="207">
        <v>0</v>
      </c>
      <c r="I10" s="208">
        <v>0</v>
      </c>
      <c r="J10" s="206" t="str">
        <f t="shared" si="2"/>
        <v>-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6" customFormat="1" ht="14.1" customHeight="1" x14ac:dyDescent="0.2">
      <c r="A11" s="201" t="s">
        <v>421</v>
      </c>
      <c r="B11" s="207">
        <v>2.2050000000000001</v>
      </c>
      <c r="C11" s="208">
        <v>0.93600000000000005</v>
      </c>
      <c r="D11" s="206">
        <f t="shared" si="0"/>
        <v>42.448979591836739</v>
      </c>
      <c r="E11" s="207">
        <v>53.776000000000003</v>
      </c>
      <c r="F11" s="208">
        <v>45.911999999999999</v>
      </c>
      <c r="G11" s="205">
        <f t="shared" si="1"/>
        <v>85.376376078548049</v>
      </c>
      <c r="H11" s="207">
        <v>0.43099999999999999</v>
      </c>
      <c r="I11" s="208">
        <v>0.43099999999999999</v>
      </c>
      <c r="J11" s="206">
        <f t="shared" si="2"/>
        <v>100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21" customFormat="1" ht="14.1" customHeight="1" x14ac:dyDescent="0.2">
      <c r="A12" s="201" t="s">
        <v>422</v>
      </c>
      <c r="B12" s="207">
        <v>174.029</v>
      </c>
      <c r="C12" s="208">
        <v>175.49700000000001</v>
      </c>
      <c r="D12" s="206">
        <f t="shared" si="0"/>
        <v>100.84353757132433</v>
      </c>
      <c r="E12" s="207">
        <v>2324.8530000000001</v>
      </c>
      <c r="F12" s="208">
        <v>2450.0520000000001</v>
      </c>
      <c r="G12" s="205">
        <f t="shared" si="1"/>
        <v>105.3852437121831</v>
      </c>
      <c r="H12" s="207">
        <v>73.876000000000005</v>
      </c>
      <c r="I12" s="208">
        <v>72.921999999999997</v>
      </c>
      <c r="J12" s="206">
        <f t="shared" si="2"/>
        <v>98.708646921869075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21" customFormat="1" ht="14.1" customHeight="1" x14ac:dyDescent="0.2">
      <c r="A13" s="201" t="s">
        <v>242</v>
      </c>
      <c r="B13" s="207">
        <v>0.42899999999999999</v>
      </c>
      <c r="C13" s="208">
        <v>0.38100000000000001</v>
      </c>
      <c r="D13" s="206">
        <f t="shared" si="0"/>
        <v>88.811188811188813</v>
      </c>
      <c r="E13" s="207">
        <v>9.3290000000000006</v>
      </c>
      <c r="F13" s="208">
        <v>8.5239999999999991</v>
      </c>
      <c r="G13" s="205">
        <f t="shared" si="1"/>
        <v>91.370993675635106</v>
      </c>
      <c r="H13" s="207">
        <v>0.125</v>
      </c>
      <c r="I13" s="208">
        <v>0.125</v>
      </c>
      <c r="J13" s="206">
        <f t="shared" si="2"/>
        <v>100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22" customFormat="1" ht="14.1" customHeight="1" thickBot="1" x14ac:dyDescent="0.25">
      <c r="A14" s="209" t="s">
        <v>64</v>
      </c>
      <c r="B14" s="210">
        <f>SUM(B6:B13)</f>
        <v>757.78</v>
      </c>
      <c r="C14" s="211">
        <f>SUM(C6:C13)</f>
        <v>791.00700000000018</v>
      </c>
      <c r="D14" s="732">
        <f t="shared" si="0"/>
        <v>104.38478186280982</v>
      </c>
      <c r="E14" s="210">
        <f>SUM(E6:E13)</f>
        <v>4528.3279999999995</v>
      </c>
      <c r="F14" s="211">
        <f>SUM(F6:F13)</f>
        <v>4619.6150000000007</v>
      </c>
      <c r="G14" s="732">
        <f t="shared" si="1"/>
        <v>102.01590962492119</v>
      </c>
      <c r="H14" s="212">
        <f t="shared" ref="H14:I14" si="3">SUM(H6:H13)</f>
        <v>207.69900000000001</v>
      </c>
      <c r="I14" s="211">
        <f t="shared" si="3"/>
        <v>194.577</v>
      </c>
      <c r="J14" s="732">
        <f t="shared" si="2"/>
        <v>93.682203573440404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</sheetData>
  <sortState xmlns:xlrd2="http://schemas.microsoft.com/office/spreadsheetml/2017/richdata2" ref="A30:H37">
    <sortCondition ref="H30:H37"/>
  </sortState>
  <customSheetViews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N20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18.140625" style="154" customWidth="1"/>
    <col min="2" max="2" width="7.28515625" style="154" customWidth="1"/>
    <col min="3" max="3" width="5.28515625" style="154" customWidth="1"/>
    <col min="4" max="4" width="7.28515625" style="154" customWidth="1"/>
    <col min="5" max="5" width="5.28515625" style="154" customWidth="1"/>
    <col min="6" max="6" width="7.28515625" style="154" customWidth="1"/>
    <col min="7" max="7" width="5.28515625" style="154" customWidth="1"/>
    <col min="8" max="8" width="7.28515625" style="154" customWidth="1"/>
    <col min="9" max="9" width="5.28515625" style="154" customWidth="1"/>
    <col min="10" max="10" width="7.28515625" style="154" customWidth="1"/>
    <col min="11" max="11" width="5.28515625" style="154" customWidth="1"/>
    <col min="12" max="12" width="7.28515625" style="154" customWidth="1"/>
    <col min="13" max="13" width="5.28515625" style="154" customWidth="1"/>
    <col min="14" max="14" width="6.28515625" style="154" customWidth="1"/>
    <col min="15" max="16384" width="8.7109375" style="39"/>
  </cols>
  <sheetData>
    <row r="1" spans="1:14" hidden="1" x14ac:dyDescent="0.25"/>
    <row r="2" spans="1:14" x14ac:dyDescent="0.25">
      <c r="B2" s="28"/>
      <c r="C2" s="28"/>
      <c r="D2" s="28"/>
      <c r="E2" s="28"/>
      <c r="F2" s="28"/>
      <c r="G2" s="28"/>
      <c r="H2" s="28"/>
      <c r="I2" s="28"/>
    </row>
    <row r="3" spans="1:14" ht="12.75" x14ac:dyDescent="0.2">
      <c r="A3" s="152" t="s">
        <v>386</v>
      </c>
      <c r="B3" s="445"/>
      <c r="C3" s="445"/>
      <c r="D3" s="445"/>
      <c r="E3" s="445"/>
      <c r="F3" s="445"/>
      <c r="G3" s="445"/>
      <c r="H3" s="445"/>
      <c r="I3" s="445"/>
      <c r="J3" s="147"/>
      <c r="K3" s="147"/>
      <c r="L3" s="147"/>
      <c r="M3" s="147"/>
      <c r="N3" s="438" t="s">
        <v>400</v>
      </c>
    </row>
    <row r="4" spans="1:14" ht="12" customHeight="1" x14ac:dyDescent="0.2">
      <c r="A4" s="766" t="s">
        <v>12</v>
      </c>
      <c r="B4" s="779" t="s">
        <v>532</v>
      </c>
      <c r="C4" s="788"/>
      <c r="D4" s="788"/>
      <c r="E4" s="788"/>
      <c r="F4" s="788"/>
      <c r="G4" s="788"/>
      <c r="H4" s="779" t="s">
        <v>533</v>
      </c>
      <c r="I4" s="788"/>
      <c r="J4" s="788"/>
      <c r="K4" s="788"/>
      <c r="L4" s="788"/>
      <c r="M4" s="789"/>
      <c r="N4" s="785" t="s">
        <v>11</v>
      </c>
    </row>
    <row r="5" spans="1:14" ht="36" x14ac:dyDescent="0.2">
      <c r="A5" s="787"/>
      <c r="B5" s="181" t="s">
        <v>45</v>
      </c>
      <c r="C5" s="182" t="s">
        <v>3</v>
      </c>
      <c r="D5" s="182" t="s">
        <v>136</v>
      </c>
      <c r="E5" s="182" t="s">
        <v>3</v>
      </c>
      <c r="F5" s="182" t="s">
        <v>41</v>
      </c>
      <c r="G5" s="182" t="s">
        <v>3</v>
      </c>
      <c r="H5" s="181" t="s">
        <v>45</v>
      </c>
      <c r="I5" s="182" t="s">
        <v>3</v>
      </c>
      <c r="J5" s="182" t="s">
        <v>136</v>
      </c>
      <c r="K5" s="182" t="s">
        <v>3</v>
      </c>
      <c r="L5" s="182" t="s">
        <v>41</v>
      </c>
      <c r="M5" s="183" t="s">
        <v>3</v>
      </c>
      <c r="N5" s="786"/>
    </row>
    <row r="6" spans="1:14" ht="14.1" customHeight="1" x14ac:dyDescent="0.2">
      <c r="A6" s="549" t="s">
        <v>60</v>
      </c>
      <c r="B6" s="550"/>
      <c r="C6" s="551"/>
      <c r="D6" s="552"/>
      <c r="E6" s="551"/>
      <c r="F6" s="553"/>
      <c r="G6" s="551"/>
      <c r="H6" s="550"/>
      <c r="I6" s="551"/>
      <c r="J6" s="552"/>
      <c r="K6" s="551"/>
      <c r="L6" s="553"/>
      <c r="M6" s="554"/>
      <c r="N6" s="553"/>
    </row>
    <row r="7" spans="1:14" ht="14.1" customHeight="1" x14ac:dyDescent="0.2">
      <c r="A7" s="201" t="s">
        <v>423</v>
      </c>
      <c r="B7" s="555">
        <v>7.7619999999999996</v>
      </c>
      <c r="C7" s="556">
        <f>IF(B$20&gt;0,B7*100/B$20,0)</f>
        <v>0.14128636116995005</v>
      </c>
      <c r="D7" s="557">
        <v>0</v>
      </c>
      <c r="E7" s="556">
        <f>IF(D$20&gt;0,D7*100/D$20,0)</f>
        <v>0</v>
      </c>
      <c r="F7" s="208">
        <f>B7+D7</f>
        <v>7.7619999999999996</v>
      </c>
      <c r="G7" s="556">
        <f>IF(F$20&gt;0,F7*100/F$20,0)</f>
        <v>0.10950451815472612</v>
      </c>
      <c r="H7" s="555">
        <v>6.1130000000000004</v>
      </c>
      <c r="I7" s="556">
        <f>IF(H$20&gt;0,H7*100/H$20,0)</f>
        <v>0.10905946425809326</v>
      </c>
      <c r="J7" s="557">
        <v>8.4770000000000003</v>
      </c>
      <c r="K7" s="556">
        <f>IF(J$20&gt;0,J7*100/J$20,0)</f>
        <v>0.51786155007807333</v>
      </c>
      <c r="L7" s="208">
        <f>H7+J7</f>
        <v>14.59</v>
      </c>
      <c r="M7" s="558">
        <f>IF(L$20&gt;0,L7*100/L$20,0)</f>
        <v>0.20146026241200266</v>
      </c>
      <c r="N7" s="559">
        <f>IF(F7&lt;&gt;0,L7*100/F7,0)</f>
        <v>187.96701880958517</v>
      </c>
    </row>
    <row r="8" spans="1:14" ht="14.1" customHeight="1" x14ac:dyDescent="0.2">
      <c r="A8" s="201" t="s">
        <v>424</v>
      </c>
      <c r="B8" s="555">
        <v>705.13300000000004</v>
      </c>
      <c r="C8" s="556">
        <f>IF(B$20&gt;0,B8*100/B$20,0)</f>
        <v>12.83505226885473</v>
      </c>
      <c r="D8" s="557">
        <v>243.69399999999999</v>
      </c>
      <c r="E8" s="556">
        <f t="shared" ref="E8:E11" si="0">IF(D$20&gt;0,D8*100/D$20,0)</f>
        <v>15.283555505382616</v>
      </c>
      <c r="F8" s="208">
        <f t="shared" ref="F8:F11" si="1">B8+D8</f>
        <v>948.827</v>
      </c>
      <c r="G8" s="556">
        <f t="shared" ref="G8:G11" si="2">IF(F$20&gt;0,F8*100/F$20,0)</f>
        <v>13.385833992166235</v>
      </c>
      <c r="H8" s="555">
        <v>728.47199999999998</v>
      </c>
      <c r="I8" s="556">
        <f>IF(H$20&gt;0,H8*100/H$20,0)</f>
        <v>12.996362840998152</v>
      </c>
      <c r="J8" s="557">
        <v>248.197</v>
      </c>
      <c r="K8" s="556">
        <f>IF(J$20&gt;0,J8*100/J$20,0)</f>
        <v>15.162402164058932</v>
      </c>
      <c r="L8" s="208">
        <f t="shared" ref="L8:L11" si="3">H8+J8</f>
        <v>976.66899999999998</v>
      </c>
      <c r="M8" s="558">
        <f t="shared" ref="M8:M11" si="4">IF(L$20&gt;0,L8*100/L$20,0)</f>
        <v>13.485948802581783</v>
      </c>
      <c r="N8" s="559">
        <f>IF(F8&lt;&gt;0,L8*100/F8,0)</f>
        <v>102.93436000451082</v>
      </c>
    </row>
    <row r="9" spans="1:14" ht="14.1" customHeight="1" x14ac:dyDescent="0.2">
      <c r="A9" s="201" t="s">
        <v>425</v>
      </c>
      <c r="B9" s="555">
        <v>0</v>
      </c>
      <c r="C9" s="556">
        <f>IF(B$20&gt;0,B9*100/B$20,0)</f>
        <v>0</v>
      </c>
      <c r="D9" s="557">
        <v>0</v>
      </c>
      <c r="E9" s="556">
        <f t="shared" si="0"/>
        <v>0</v>
      </c>
      <c r="F9" s="208">
        <f t="shared" si="1"/>
        <v>0</v>
      </c>
      <c r="G9" s="556">
        <f t="shared" si="2"/>
        <v>0</v>
      </c>
      <c r="H9" s="555">
        <v>0</v>
      </c>
      <c r="I9" s="556">
        <f t="shared" ref="I9:K11" si="5">IF(H$20&gt;0,H9*100/H$20,0)</f>
        <v>0</v>
      </c>
      <c r="J9" s="557">
        <v>0</v>
      </c>
      <c r="K9" s="556">
        <f t="shared" si="5"/>
        <v>0</v>
      </c>
      <c r="L9" s="208">
        <f t="shared" si="3"/>
        <v>0</v>
      </c>
      <c r="M9" s="558">
        <f t="shared" si="4"/>
        <v>0</v>
      </c>
      <c r="N9" s="559">
        <f>IF(F9&lt;&gt;0,L9*100/F9,0)</f>
        <v>0</v>
      </c>
    </row>
    <row r="10" spans="1:14" ht="14.1" customHeight="1" x14ac:dyDescent="0.2">
      <c r="A10" s="201" t="s">
        <v>422</v>
      </c>
      <c r="B10" s="560">
        <v>247.905</v>
      </c>
      <c r="C10" s="556">
        <f>IF(B$20&gt;0,B10*100/B$20,0)</f>
        <v>4.5124446490384527</v>
      </c>
      <c r="D10" s="208">
        <v>37.659999999999997</v>
      </c>
      <c r="E10" s="556">
        <f t="shared" si="0"/>
        <v>2.3618911435353733</v>
      </c>
      <c r="F10" s="561">
        <f t="shared" si="1"/>
        <v>285.565</v>
      </c>
      <c r="G10" s="556">
        <f t="shared" si="2"/>
        <v>4.0286856128387489</v>
      </c>
      <c r="H10" s="560">
        <v>248.41900000000001</v>
      </c>
      <c r="I10" s="556">
        <f t="shared" si="5"/>
        <v>4.4319389909261035</v>
      </c>
      <c r="J10" s="208">
        <v>37.283999999999999</v>
      </c>
      <c r="K10" s="556">
        <f t="shared" si="5"/>
        <v>2.2776866855150275</v>
      </c>
      <c r="L10" s="561">
        <f t="shared" si="3"/>
        <v>285.70300000000003</v>
      </c>
      <c r="M10" s="558">
        <f t="shared" si="4"/>
        <v>3.9450172276830981</v>
      </c>
      <c r="N10" s="559">
        <f t="shared" ref="N10:N20" si="6">IF(F10&lt;&gt;0,L10*100/F10,0)</f>
        <v>100.0483252499431</v>
      </c>
    </row>
    <row r="11" spans="1:14" ht="14.1" customHeight="1" x14ac:dyDescent="0.2">
      <c r="A11" s="201" t="s">
        <v>242</v>
      </c>
      <c r="B11" s="555">
        <v>4.6790000000000003</v>
      </c>
      <c r="C11" s="556">
        <f>IF(B$20&gt;0,B11*100/B$20,0)</f>
        <v>8.5168627146894674E-2</v>
      </c>
      <c r="D11" s="557">
        <v>1.2709999999999999</v>
      </c>
      <c r="E11" s="556">
        <f t="shared" si="0"/>
        <v>7.9712258189948482E-2</v>
      </c>
      <c r="F11" s="208">
        <f t="shared" si="1"/>
        <v>5.95</v>
      </c>
      <c r="G11" s="556">
        <f t="shared" si="2"/>
        <v>8.3941237183795467E-2</v>
      </c>
      <c r="H11" s="555">
        <v>2.58</v>
      </c>
      <c r="I11" s="556">
        <f t="shared" si="5"/>
        <v>4.6028695858969508E-2</v>
      </c>
      <c r="J11" s="557">
        <v>1.0549999999999999</v>
      </c>
      <c r="K11" s="556">
        <f t="shared" si="5"/>
        <v>6.4450151625854352E-2</v>
      </c>
      <c r="L11" s="208">
        <f t="shared" si="3"/>
        <v>3.6349999999999998</v>
      </c>
      <c r="M11" s="558">
        <f t="shared" si="4"/>
        <v>5.0192464281537327E-2</v>
      </c>
      <c r="N11" s="559">
        <f t="shared" si="6"/>
        <v>61.092436974789912</v>
      </c>
    </row>
    <row r="12" spans="1:14" ht="14.1" customHeight="1" x14ac:dyDescent="0.2">
      <c r="A12" s="562" t="s">
        <v>41</v>
      </c>
      <c r="B12" s="563">
        <f t="shared" ref="B12:M12" si="7">SUM(B7:B11)</f>
        <v>965.47899999999993</v>
      </c>
      <c r="C12" s="564">
        <f>SUM(C7:C11)</f>
        <v>17.573951906210027</v>
      </c>
      <c r="D12" s="565">
        <f t="shared" si="7"/>
        <v>282.625</v>
      </c>
      <c r="E12" s="564">
        <f t="shared" si="7"/>
        <v>17.725158907107939</v>
      </c>
      <c r="F12" s="565">
        <f t="shared" si="7"/>
        <v>1248.104</v>
      </c>
      <c r="G12" s="564">
        <f>SUM(G7:G11)</f>
        <v>17.607965360343503</v>
      </c>
      <c r="H12" s="563">
        <f t="shared" si="7"/>
        <v>985.58400000000006</v>
      </c>
      <c r="I12" s="564">
        <f>SUM(I7:I11)</f>
        <v>17.583389992041319</v>
      </c>
      <c r="J12" s="565">
        <f t="shared" si="7"/>
        <v>295.01299999999998</v>
      </c>
      <c r="K12" s="564">
        <f t="shared" si="7"/>
        <v>18.02240055127789</v>
      </c>
      <c r="L12" s="565">
        <f t="shared" si="7"/>
        <v>1280.597</v>
      </c>
      <c r="M12" s="566">
        <f t="shared" si="7"/>
        <v>17.682618756958419</v>
      </c>
      <c r="N12" s="567">
        <f t="shared" si="6"/>
        <v>102.60338882016242</v>
      </c>
    </row>
    <row r="13" spans="1:14" ht="14.1" customHeight="1" x14ac:dyDescent="0.2">
      <c r="A13" s="549" t="s">
        <v>61</v>
      </c>
      <c r="B13" s="568"/>
      <c r="C13" s="556"/>
      <c r="D13" s="569"/>
      <c r="E13" s="556"/>
      <c r="F13" s="208"/>
      <c r="G13" s="556"/>
      <c r="H13" s="568"/>
      <c r="I13" s="556"/>
      <c r="J13" s="569"/>
      <c r="K13" s="556"/>
      <c r="L13" s="208"/>
      <c r="M13" s="558"/>
      <c r="N13" s="559">
        <f t="shared" si="6"/>
        <v>0</v>
      </c>
    </row>
    <row r="14" spans="1:14" ht="14.1" customHeight="1" x14ac:dyDescent="0.2">
      <c r="A14" s="201" t="s">
        <v>423</v>
      </c>
      <c r="B14" s="555">
        <v>676.10400000000004</v>
      </c>
      <c r="C14" s="556">
        <f>IF(B$20&gt;0,B14*100/B$20,0)</f>
        <v>12.306657296115427</v>
      </c>
      <c r="D14" s="557">
        <v>74.456000000000003</v>
      </c>
      <c r="E14" s="556">
        <f>IF(D$20&gt;0,D14*100/D$20,0)</f>
        <v>4.669595512030531</v>
      </c>
      <c r="F14" s="208">
        <f t="shared" ref="F14:F18" si="8">B14+D14</f>
        <v>750.56000000000006</v>
      </c>
      <c r="G14" s="556">
        <f>IF(F$20&gt;0,F14*100/F$20,0)</f>
        <v>10.588728568179754</v>
      </c>
      <c r="H14" s="555">
        <v>650.16200000000003</v>
      </c>
      <c r="I14" s="556">
        <f>IF(H$20&gt;0,H14*100/H$20,0)</f>
        <v>11.599267037619898</v>
      </c>
      <c r="J14" s="557">
        <v>74.400000000000006</v>
      </c>
      <c r="K14" s="556">
        <f>IF(J$20&gt;0,J14*100/J$20,0)</f>
        <v>4.5451102189228099</v>
      </c>
      <c r="L14" s="208">
        <f t="shared" ref="L14:L18" si="9">H14+J14</f>
        <v>724.56200000000001</v>
      </c>
      <c r="M14" s="558">
        <f>IF(L$20&gt;0,L14*100/L$20,0)</f>
        <v>10.004828694569257</v>
      </c>
      <c r="N14" s="559">
        <f t="shared" si="6"/>
        <v>96.53618631421871</v>
      </c>
    </row>
    <row r="15" spans="1:14" ht="14.1" customHeight="1" x14ac:dyDescent="0.2">
      <c r="A15" s="201" t="s">
        <v>424</v>
      </c>
      <c r="B15" s="555">
        <v>1459.41</v>
      </c>
      <c r="C15" s="556">
        <f t="shared" ref="C15:E18" si="10">IF(B$20&gt;0,B15*100/B$20,0)</f>
        <v>26.564639056304667</v>
      </c>
      <c r="D15" s="557">
        <v>533.04200000000003</v>
      </c>
      <c r="E15" s="556">
        <f t="shared" si="10"/>
        <v>33.430355255772248</v>
      </c>
      <c r="F15" s="208">
        <f t="shared" si="8"/>
        <v>1992.4520000000002</v>
      </c>
      <c r="G15" s="556">
        <f t="shared" ref="G15:G18" si="11">IF(F$20&gt;0,F15*100/F$20,0)</f>
        <v>28.109056455349187</v>
      </c>
      <c r="H15" s="555">
        <v>1459.5170000000001</v>
      </c>
      <c r="I15" s="556">
        <f t="shared" ref="I15:I18" si="12">IF(H$20&gt;0,H15*100/H$20,0)</f>
        <v>26.038629493796744</v>
      </c>
      <c r="J15" s="557">
        <v>547.91499999999996</v>
      </c>
      <c r="K15" s="556">
        <f t="shared" ref="K15:K18" si="13">IF(J$20&gt;0,J15*100/J$20,0)</f>
        <v>33.472232064530793</v>
      </c>
      <c r="L15" s="208">
        <f t="shared" si="9"/>
        <v>2007.432</v>
      </c>
      <c r="M15" s="558">
        <f t="shared" ref="M15:M18" si="14">IF(L$20&gt;0,L15*100/L$20,0)</f>
        <v>27.718833275822572</v>
      </c>
      <c r="N15" s="559">
        <f t="shared" si="6"/>
        <v>100.75183743447771</v>
      </c>
    </row>
    <row r="16" spans="1:14" ht="14.1" customHeight="1" x14ac:dyDescent="0.2">
      <c r="A16" s="201" t="s">
        <v>425</v>
      </c>
      <c r="B16" s="555">
        <v>0</v>
      </c>
      <c r="C16" s="556">
        <f t="shared" si="10"/>
        <v>0</v>
      </c>
      <c r="D16" s="557">
        <v>5.3849999999999998</v>
      </c>
      <c r="E16" s="556">
        <f t="shared" si="10"/>
        <v>0.33772660137912869</v>
      </c>
      <c r="F16" s="208">
        <f t="shared" si="8"/>
        <v>5.3849999999999998</v>
      </c>
      <c r="G16" s="556">
        <f t="shared" si="11"/>
        <v>7.5970346594073715E-2</v>
      </c>
      <c r="H16" s="555">
        <v>0</v>
      </c>
      <c r="I16" s="556">
        <f t="shared" si="12"/>
        <v>0</v>
      </c>
      <c r="J16" s="557">
        <v>3.2320000000000002</v>
      </c>
      <c r="K16" s="556">
        <f t="shared" si="13"/>
        <v>0.19744349768223821</v>
      </c>
      <c r="L16" s="208">
        <f t="shared" si="9"/>
        <v>3.2320000000000002</v>
      </c>
      <c r="M16" s="558">
        <f t="shared" si="14"/>
        <v>4.4627797677559471E-2</v>
      </c>
      <c r="N16" s="559">
        <f t="shared" si="6"/>
        <v>60.01857010213557</v>
      </c>
    </row>
    <row r="17" spans="1:14" ht="14.1" customHeight="1" x14ac:dyDescent="0.2">
      <c r="A17" s="201" t="s">
        <v>422</v>
      </c>
      <c r="B17" s="555">
        <v>2324.8530000000001</v>
      </c>
      <c r="C17" s="556">
        <f t="shared" si="10"/>
        <v>42.317704280474359</v>
      </c>
      <c r="D17" s="557">
        <v>695.69899999999996</v>
      </c>
      <c r="E17" s="556">
        <f t="shared" si="10"/>
        <v>43.631580102666376</v>
      </c>
      <c r="F17" s="208">
        <f t="shared" si="8"/>
        <v>3020.5520000000001</v>
      </c>
      <c r="G17" s="556">
        <f t="shared" si="11"/>
        <v>42.61325577445173</v>
      </c>
      <c r="H17" s="555">
        <v>2450.0520000000001</v>
      </c>
      <c r="I17" s="556">
        <f t="shared" si="12"/>
        <v>43.710348196379833</v>
      </c>
      <c r="J17" s="557">
        <v>714.01400000000001</v>
      </c>
      <c r="K17" s="556">
        <f t="shared" si="13"/>
        <v>43.619251718467076</v>
      </c>
      <c r="L17" s="208">
        <f t="shared" si="9"/>
        <v>3164.0660000000003</v>
      </c>
      <c r="M17" s="558">
        <f t="shared" si="14"/>
        <v>43.689757823776262</v>
      </c>
      <c r="N17" s="559">
        <f t="shared" si="6"/>
        <v>104.75125076476088</v>
      </c>
    </row>
    <row r="18" spans="1:14" ht="14.1" customHeight="1" x14ac:dyDescent="0.2">
      <c r="A18" s="201" t="s">
        <v>242</v>
      </c>
      <c r="B18" s="555">
        <v>67.960999999999999</v>
      </c>
      <c r="C18" s="556">
        <f t="shared" si="10"/>
        <v>1.2370474608955135</v>
      </c>
      <c r="D18" s="557">
        <v>3.278</v>
      </c>
      <c r="E18" s="556">
        <f t="shared" si="10"/>
        <v>0.20558362104378533</v>
      </c>
      <c r="F18" s="208">
        <f t="shared" si="8"/>
        <v>71.239000000000004</v>
      </c>
      <c r="G18" s="556">
        <f t="shared" si="11"/>
        <v>1.0050234950817489</v>
      </c>
      <c r="H18" s="555">
        <v>59.884</v>
      </c>
      <c r="I18" s="556">
        <f t="shared" si="12"/>
        <v>1.0683652801622208</v>
      </c>
      <c r="J18" s="557">
        <v>2.35</v>
      </c>
      <c r="K18" s="556">
        <f t="shared" si="13"/>
        <v>0.14356194911920164</v>
      </c>
      <c r="L18" s="208">
        <f t="shared" si="9"/>
        <v>62.234000000000002</v>
      </c>
      <c r="M18" s="558">
        <f t="shared" si="14"/>
        <v>0.85933365119592697</v>
      </c>
      <c r="N18" s="559">
        <f t="shared" si="6"/>
        <v>87.359451985569706</v>
      </c>
    </row>
    <row r="19" spans="1:14" ht="14.1" customHeight="1" x14ac:dyDescent="0.2">
      <c r="A19" s="562" t="s">
        <v>41</v>
      </c>
      <c r="B19" s="563">
        <f>SUM(B14:B18)</f>
        <v>4528.3280000000004</v>
      </c>
      <c r="C19" s="564">
        <f>SUM(C14:C18)</f>
        <v>82.426048093789959</v>
      </c>
      <c r="D19" s="565">
        <f>SUM(D14:D18)</f>
        <v>1311.86</v>
      </c>
      <c r="E19" s="564">
        <f>SUM(E14:E18)</f>
        <v>82.274841092892075</v>
      </c>
      <c r="F19" s="565">
        <f t="shared" ref="F19:L19" si="15">SUM(F14:F18)</f>
        <v>5840.1880000000001</v>
      </c>
      <c r="G19" s="564">
        <f>SUM(G14:G18)</f>
        <v>82.392034639656487</v>
      </c>
      <c r="H19" s="563">
        <f t="shared" si="15"/>
        <v>4619.6149999999998</v>
      </c>
      <c r="I19" s="564">
        <f t="shared" si="15"/>
        <v>82.416610007958695</v>
      </c>
      <c r="J19" s="565">
        <f t="shared" si="15"/>
        <v>1341.9109999999998</v>
      </c>
      <c r="K19" s="564">
        <f>SUM(K14:K18)</f>
        <v>81.977599448722117</v>
      </c>
      <c r="L19" s="565">
        <f t="shared" si="15"/>
        <v>5961.5260000000007</v>
      </c>
      <c r="M19" s="566">
        <f>SUM(M14:M18)</f>
        <v>82.317381243041581</v>
      </c>
      <c r="N19" s="567">
        <f t="shared" si="6"/>
        <v>102.07763859656575</v>
      </c>
    </row>
    <row r="20" spans="1:14" s="195" customFormat="1" ht="14.1" customHeight="1" thickBot="1" x14ac:dyDescent="0.25">
      <c r="A20" s="570" t="s">
        <v>135</v>
      </c>
      <c r="B20" s="571">
        <f>B19+B12</f>
        <v>5493.8070000000007</v>
      </c>
      <c r="C20" s="572">
        <f>C19+C12</f>
        <v>99.999999999999986</v>
      </c>
      <c r="D20" s="573">
        <f>D19+D12</f>
        <v>1594.4849999999999</v>
      </c>
      <c r="E20" s="572">
        <f>E19+E12</f>
        <v>100.00000000000001</v>
      </c>
      <c r="F20" s="573">
        <f t="shared" ref="F20:L20" si="16">F19+F12</f>
        <v>7088.2920000000004</v>
      </c>
      <c r="G20" s="572">
        <f>G19+G12</f>
        <v>99.999999999999986</v>
      </c>
      <c r="H20" s="571">
        <f t="shared" si="16"/>
        <v>5605.1989999999996</v>
      </c>
      <c r="I20" s="572">
        <f t="shared" si="16"/>
        <v>100.00000000000001</v>
      </c>
      <c r="J20" s="573">
        <f t="shared" si="16"/>
        <v>1636.9239999999998</v>
      </c>
      <c r="K20" s="572">
        <f t="shared" si="16"/>
        <v>100</v>
      </c>
      <c r="L20" s="573">
        <f t="shared" si="16"/>
        <v>7242.1230000000005</v>
      </c>
      <c r="M20" s="574">
        <f>M19+M12</f>
        <v>100</v>
      </c>
      <c r="N20" s="575">
        <f t="shared" si="6"/>
        <v>102.17021251381857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18.7109375" style="39" customWidth="1"/>
    <col min="2" max="2" width="8.5703125" style="39" bestFit="1" customWidth="1"/>
    <col min="3" max="3" width="5" style="39" customWidth="1"/>
    <col min="4" max="4" width="6.5703125" style="39" customWidth="1"/>
    <col min="5" max="5" width="5" style="39" customWidth="1"/>
    <col min="6" max="6" width="8.5703125" style="39" bestFit="1" customWidth="1"/>
    <col min="7" max="7" width="5.5703125" style="39" customWidth="1"/>
    <col min="8" max="8" width="8.5703125" style="39" bestFit="1" customWidth="1"/>
    <col min="9" max="9" width="5" style="39" customWidth="1"/>
    <col min="10" max="10" width="7.42578125" style="39" bestFit="1" customWidth="1"/>
    <col min="11" max="11" width="5.5703125" style="39" customWidth="1"/>
    <col min="12" max="12" width="8.5703125" style="39" bestFit="1" customWidth="1"/>
    <col min="13" max="13" width="5.5703125" style="39" customWidth="1"/>
    <col min="14" max="14" width="6.85546875" style="39" customWidth="1"/>
    <col min="15" max="16384" width="8.7109375" style="39"/>
  </cols>
  <sheetData>
    <row r="1" spans="1:14" hidden="1" x14ac:dyDescent="0.2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35"/>
    </row>
    <row r="2" spans="1:14" x14ac:dyDescent="0.2">
      <c r="A2" s="232"/>
      <c r="B2" s="233"/>
      <c r="C2" s="233"/>
      <c r="D2" s="233"/>
      <c r="E2" s="233"/>
      <c r="F2" s="233"/>
      <c r="G2" s="233"/>
      <c r="H2" s="233"/>
      <c r="I2" s="233"/>
      <c r="J2" s="233"/>
    </row>
    <row r="3" spans="1:14" x14ac:dyDescent="0.2">
      <c r="A3" s="146" t="s">
        <v>389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438" t="s">
        <v>400</v>
      </c>
    </row>
    <row r="4" spans="1:14" x14ac:dyDescent="0.2">
      <c r="A4" s="802" t="s">
        <v>12</v>
      </c>
      <c r="B4" s="804" t="s">
        <v>532</v>
      </c>
      <c r="C4" s="805"/>
      <c r="D4" s="805"/>
      <c r="E4" s="805"/>
      <c r="F4" s="805"/>
      <c r="G4" s="806"/>
      <c r="H4" s="804" t="s">
        <v>533</v>
      </c>
      <c r="I4" s="805"/>
      <c r="J4" s="805"/>
      <c r="K4" s="805"/>
      <c r="L4" s="805"/>
      <c r="M4" s="806"/>
      <c r="N4" s="807" t="s">
        <v>11</v>
      </c>
    </row>
    <row r="5" spans="1:14" ht="36" x14ac:dyDescent="0.2">
      <c r="A5" s="803"/>
      <c r="B5" s="238" t="s">
        <v>45</v>
      </c>
      <c r="C5" s="227" t="s">
        <v>3</v>
      </c>
      <c r="D5" s="227" t="s">
        <v>136</v>
      </c>
      <c r="E5" s="227" t="s">
        <v>3</v>
      </c>
      <c r="F5" s="227" t="s">
        <v>41</v>
      </c>
      <c r="G5" s="239" t="s">
        <v>3</v>
      </c>
      <c r="H5" s="238" t="s">
        <v>45</v>
      </c>
      <c r="I5" s="227" t="s">
        <v>3</v>
      </c>
      <c r="J5" s="227" t="s">
        <v>136</v>
      </c>
      <c r="K5" s="227" t="s">
        <v>3</v>
      </c>
      <c r="L5" s="227" t="s">
        <v>41</v>
      </c>
      <c r="M5" s="239" t="s">
        <v>3</v>
      </c>
      <c r="N5" s="808"/>
    </row>
    <row r="6" spans="1:14" ht="24" x14ac:dyDescent="0.2">
      <c r="A6" s="225" t="s">
        <v>62</v>
      </c>
      <c r="B6" s="584"/>
      <c r="C6" s="742"/>
      <c r="D6" s="586"/>
      <c r="E6" s="742"/>
      <c r="F6" s="586"/>
      <c r="G6" s="745"/>
      <c r="H6" s="584"/>
      <c r="I6" s="742"/>
      <c r="J6" s="586"/>
      <c r="K6" s="742"/>
      <c r="L6" s="586"/>
      <c r="M6" s="745"/>
      <c r="N6" s="585"/>
    </row>
    <row r="7" spans="1:14" ht="14.1" customHeight="1" x14ac:dyDescent="0.2">
      <c r="A7" s="234" t="s">
        <v>426</v>
      </c>
      <c r="B7" s="587">
        <v>197.755</v>
      </c>
      <c r="C7" s="743">
        <f>IF(B$16&gt;0,B7*100/B$16,0)</f>
        <v>7.6864983025997775</v>
      </c>
      <c r="D7" s="588">
        <v>36.488999999999997</v>
      </c>
      <c r="E7" s="743">
        <f>IF(D$16&gt;0,D7*100/D$16,0)</f>
        <v>4.9755985813223811</v>
      </c>
      <c r="F7" s="586">
        <f>B7+D7</f>
        <v>234.244</v>
      </c>
      <c r="G7" s="746">
        <f>IF(F$16&gt;0,F7*100/F$16,0)</f>
        <v>7.0851697021006821</v>
      </c>
      <c r="H7" s="587">
        <v>197.65600000000001</v>
      </c>
      <c r="I7" s="743">
        <f>IF(H$16&gt;0,H7*100/H$16,0)</f>
        <v>7.3247405660464766</v>
      </c>
      <c r="J7" s="588">
        <v>36.182000000000002</v>
      </c>
      <c r="K7" s="743">
        <f>IF(J$16&gt;0,J7*100/J$16,0)</f>
        <v>4.8159318938690108</v>
      </c>
      <c r="L7" s="586">
        <f>H7+J7</f>
        <v>233.83800000000002</v>
      </c>
      <c r="M7" s="746">
        <f>IF(L$16&gt;0,L7*100/L$16,0)</f>
        <v>6.7783668993489146</v>
      </c>
      <c r="N7" s="589">
        <f>IF(F7&lt;&gt;0,L7*100/F7,"-")</f>
        <v>99.82667645702773</v>
      </c>
    </row>
    <row r="8" spans="1:14" ht="14.1" customHeight="1" x14ac:dyDescent="0.2">
      <c r="A8" s="234" t="s">
        <v>427</v>
      </c>
      <c r="B8" s="587">
        <v>18.492999999999999</v>
      </c>
      <c r="C8" s="743">
        <f t="shared" ref="C8:C9" si="0">IF(B$16&gt;0,B8*100/B$16,0)</f>
        <v>0.71880060231082743</v>
      </c>
      <c r="D8" s="588">
        <v>3.3000000000000002E-2</v>
      </c>
      <c r="E8" s="743">
        <f>IF(D$16&gt;0,D8*100/D$16,0)</f>
        <v>4.4998425055123078E-3</v>
      </c>
      <c r="F8" s="586">
        <f t="shared" ref="F8:F9" si="1">B8+D8</f>
        <v>18.526</v>
      </c>
      <c r="G8" s="746">
        <f>IF(F$16&gt;0,F8*100/F$16,0)</f>
        <v>0.56035524453611285</v>
      </c>
      <c r="H8" s="587">
        <v>18.297000000000001</v>
      </c>
      <c r="I8" s="743">
        <f t="shared" ref="I8" si="2">IF(H$16&gt;0,H8*100/H$16,0)</f>
        <v>0.67805064423519834</v>
      </c>
      <c r="J8" s="588">
        <v>0.05</v>
      </c>
      <c r="K8" s="743">
        <f t="shared" ref="K8" si="3">IF(J$16&gt;0,J8*100/J$16,0)</f>
        <v>6.6551488224379672E-3</v>
      </c>
      <c r="L8" s="586">
        <f t="shared" ref="L8:L9" si="4">H8+J8</f>
        <v>18.347000000000001</v>
      </c>
      <c r="M8" s="746">
        <f t="shared" ref="M8:M9" si="5">IF(L$16&gt;0,L8*100/L$16,0)</f>
        <v>0.53183271111775898</v>
      </c>
      <c r="N8" s="589">
        <f>IF(F8&lt;&gt;0,L8*100/F8,"-")</f>
        <v>99.033790348699128</v>
      </c>
    </row>
    <row r="9" spans="1:14" ht="14.1" customHeight="1" x14ac:dyDescent="0.2">
      <c r="A9" s="224" t="s">
        <v>516</v>
      </c>
      <c r="B9" s="587">
        <v>31.657</v>
      </c>
      <c r="C9" s="743">
        <f t="shared" si="0"/>
        <v>1.2304694028742693</v>
      </c>
      <c r="D9" s="588">
        <v>1.1379999999999999</v>
      </c>
      <c r="E9" s="743">
        <f>IF(D$16&gt;0,D9*100/D$16,0)</f>
        <v>0.15517638700827288</v>
      </c>
      <c r="F9" s="586">
        <f t="shared" si="1"/>
        <v>32.795000000000002</v>
      </c>
      <c r="G9" s="746">
        <f>IF(F$16&gt;0,F9*100/F$16,0)</f>
        <v>0.9919491657433781</v>
      </c>
      <c r="H9" s="587">
        <v>32.466000000000001</v>
      </c>
      <c r="I9" s="743">
        <f t="shared" ref="I9" si="6">IF(H$16&gt;0,H9*100/H$16,0)</f>
        <v>1.2031257701120375</v>
      </c>
      <c r="J9" s="588">
        <v>1.052</v>
      </c>
      <c r="K9" s="743">
        <f t="shared" ref="K9" si="7">IF(J$16&gt;0,J9*100/J$16,0)</f>
        <v>0.14002433122409483</v>
      </c>
      <c r="L9" s="586">
        <f t="shared" si="4"/>
        <v>33.518000000000001</v>
      </c>
      <c r="M9" s="746">
        <f t="shared" si="5"/>
        <v>0.97160128692674796</v>
      </c>
      <c r="N9" s="585">
        <f>IF(F9&lt;&gt;0,L9*100/F9,"-")</f>
        <v>102.2046043604208</v>
      </c>
    </row>
    <row r="10" spans="1:14" ht="14.1" customHeight="1" x14ac:dyDescent="0.2">
      <c r="A10" s="459" t="s">
        <v>41</v>
      </c>
      <c r="B10" s="590">
        <f t="shared" ref="B10:M10" si="8">SUM(B7:B9)</f>
        <v>247.905</v>
      </c>
      <c r="C10" s="744">
        <f t="shared" si="8"/>
        <v>9.6357683077848755</v>
      </c>
      <c r="D10" s="591">
        <f t="shared" si="8"/>
        <v>37.659999999999997</v>
      </c>
      <c r="E10" s="744">
        <f t="shared" si="8"/>
        <v>5.1352748108361661</v>
      </c>
      <c r="F10" s="591">
        <f t="shared" si="8"/>
        <v>285.565</v>
      </c>
      <c r="G10" s="747">
        <f>SUM(G7:G9)</f>
        <v>8.6374741123801719</v>
      </c>
      <c r="H10" s="590">
        <f t="shared" si="8"/>
        <v>248.41900000000001</v>
      </c>
      <c r="I10" s="744">
        <f t="shared" si="8"/>
        <v>9.2059169803937131</v>
      </c>
      <c r="J10" s="591">
        <f t="shared" si="8"/>
        <v>37.283999999999999</v>
      </c>
      <c r="K10" s="744">
        <f t="shared" si="8"/>
        <v>4.9626113739155437</v>
      </c>
      <c r="L10" s="591">
        <f t="shared" si="8"/>
        <v>285.70300000000003</v>
      </c>
      <c r="M10" s="747">
        <f t="shared" si="8"/>
        <v>8.2818008973934223</v>
      </c>
      <c r="N10" s="592">
        <f>IF(F10&lt;&gt;0,L10*100/F10,"-")</f>
        <v>100.0483252499431</v>
      </c>
    </row>
    <row r="11" spans="1:14" ht="24" x14ac:dyDescent="0.2">
      <c r="A11" s="225" t="s">
        <v>63</v>
      </c>
      <c r="B11" s="593"/>
      <c r="C11" s="743"/>
      <c r="D11" s="594"/>
      <c r="E11" s="743"/>
      <c r="F11" s="586"/>
      <c r="G11" s="746"/>
      <c r="H11" s="593"/>
      <c r="I11" s="743"/>
      <c r="J11" s="594"/>
      <c r="K11" s="743"/>
      <c r="L11" s="586"/>
      <c r="M11" s="746"/>
      <c r="N11" s="585"/>
    </row>
    <row r="12" spans="1:14" ht="14.1" customHeight="1" x14ac:dyDescent="0.2">
      <c r="A12" s="234" t="s">
        <v>426</v>
      </c>
      <c r="B12" s="587">
        <v>1469.9259999999999</v>
      </c>
      <c r="C12" s="743">
        <f>IF(B$16&gt;0,B12*100/B$16,0)</f>
        <v>57.134250481390005</v>
      </c>
      <c r="D12" s="588">
        <v>579.60699999999997</v>
      </c>
      <c r="E12" s="743">
        <f>IF(D$16&gt;0,D12*100/D$16,0)</f>
        <v>79.034551972499145</v>
      </c>
      <c r="F12" s="586">
        <f t="shared" ref="F12:F14" si="9">B12+D12</f>
        <v>2049.5329999999999</v>
      </c>
      <c r="G12" s="746">
        <f>IF(F$16&gt;0,F12*100/F$16,0)</f>
        <v>61.992149703110925</v>
      </c>
      <c r="H12" s="587">
        <v>1529.7760000000001</v>
      </c>
      <c r="I12" s="743">
        <f>IF(H$16&gt;0,H12*100/H$16,0)</f>
        <v>56.690473975818158</v>
      </c>
      <c r="J12" s="588">
        <v>589.59799999999996</v>
      </c>
      <c r="K12" s="743">
        <f>IF(J$16&gt;0,J12*100/J$16,0)</f>
        <v>78.477248708235607</v>
      </c>
      <c r="L12" s="586">
        <f t="shared" ref="L12:L14" si="10">H12+J12</f>
        <v>2119.3739999999998</v>
      </c>
      <c r="M12" s="746">
        <f>IF(L$16&gt;0,L12*100/L$16,0)</f>
        <v>61.435243925028018</v>
      </c>
      <c r="N12" s="589">
        <f>IF(F12&lt;&gt;0,L12*100/F12,"-")</f>
        <v>103.40765432905934</v>
      </c>
    </row>
    <row r="13" spans="1:14" ht="14.1" customHeight="1" x14ac:dyDescent="0.2">
      <c r="A13" s="234" t="s">
        <v>427</v>
      </c>
      <c r="B13" s="587">
        <v>701.76800000000003</v>
      </c>
      <c r="C13" s="743">
        <f t="shared" ref="C13:E14" si="11">IF(B$16&gt;0,B13*100/B$16,0)</f>
        <v>27.276875633075477</v>
      </c>
      <c r="D13" s="588">
        <v>106.499</v>
      </c>
      <c r="E13" s="743">
        <f t="shared" si="11"/>
        <v>14.522082636198643</v>
      </c>
      <c r="F13" s="586">
        <f t="shared" si="9"/>
        <v>808.26700000000005</v>
      </c>
      <c r="G13" s="746">
        <f>IF(F$16&gt;0,F13*100/F$16,0)</f>
        <v>24.447622392069007</v>
      </c>
      <c r="H13" s="587">
        <v>751.08699999999999</v>
      </c>
      <c r="I13" s="743">
        <f t="shared" ref="I13" si="12">IF(H$16&gt;0,H13*100/H$16,0)</f>
        <v>27.833799214444031</v>
      </c>
      <c r="J13" s="588">
        <v>116.557</v>
      </c>
      <c r="K13" s="743">
        <f t="shared" ref="K13" si="13">IF(J$16&gt;0,J13*100/J$16,0)</f>
        <v>15.514083625938044</v>
      </c>
      <c r="L13" s="586">
        <f t="shared" si="10"/>
        <v>867.64400000000001</v>
      </c>
      <c r="M13" s="746">
        <f t="shared" ref="M13:M14" si="14">IF(L$16&gt;0,L13*100/L$16,0)</f>
        <v>25.150785458388665</v>
      </c>
      <c r="N13" s="589">
        <f>IF(F13&lt;&gt;0,L13*100/F13,"-")</f>
        <v>107.34621109113695</v>
      </c>
    </row>
    <row r="14" spans="1:14" ht="14.1" customHeight="1" x14ac:dyDescent="0.2">
      <c r="A14" s="224" t="s">
        <v>516</v>
      </c>
      <c r="B14" s="587">
        <v>153.15899999999999</v>
      </c>
      <c r="C14" s="743">
        <f t="shared" si="11"/>
        <v>5.9531055777496364</v>
      </c>
      <c r="D14" s="588">
        <v>9.593</v>
      </c>
      <c r="E14" s="743">
        <f t="shared" si="11"/>
        <v>1.3080905804660474</v>
      </c>
      <c r="F14" s="586">
        <f t="shared" si="9"/>
        <v>162.75199999999998</v>
      </c>
      <c r="G14" s="746">
        <f>IF(F$16&gt;0,F14*100/F$16,0)</f>
        <v>4.9227537924398916</v>
      </c>
      <c r="H14" s="587">
        <v>169.18899999999999</v>
      </c>
      <c r="I14" s="743">
        <f t="shared" ref="I14" si="15">IF(H$16&gt;0,H14*100/H$16,0)</f>
        <v>6.2698098293440978</v>
      </c>
      <c r="J14" s="588">
        <v>7.859</v>
      </c>
      <c r="K14" s="743">
        <f t="shared" ref="K14" si="16">IF(J$16&gt;0,J14*100/J$16,0)</f>
        <v>1.0460562919107996</v>
      </c>
      <c r="L14" s="586">
        <f t="shared" si="10"/>
        <v>177.048</v>
      </c>
      <c r="M14" s="746">
        <f t="shared" si="14"/>
        <v>5.1321697191898936</v>
      </c>
      <c r="N14" s="585">
        <f>IF(F14&lt;&gt;0,L14*100/F14,"-")</f>
        <v>108.78391663389698</v>
      </c>
    </row>
    <row r="15" spans="1:14" ht="14.1" customHeight="1" x14ac:dyDescent="0.2">
      <c r="A15" s="459" t="s">
        <v>41</v>
      </c>
      <c r="B15" s="590">
        <f>SUM(B12:B14)</f>
        <v>2324.8530000000001</v>
      </c>
      <c r="C15" s="744">
        <f t="shared" ref="C15:M15" si="17">SUM(C12:C14)</f>
        <v>90.364231692215114</v>
      </c>
      <c r="D15" s="591">
        <f>SUM(D12:D14)</f>
        <v>695.69899999999996</v>
      </c>
      <c r="E15" s="744">
        <f t="shared" si="17"/>
        <v>94.864725189163835</v>
      </c>
      <c r="F15" s="591">
        <f t="shared" si="17"/>
        <v>3020.5520000000001</v>
      </c>
      <c r="G15" s="747">
        <f>SUM(G12:G14)</f>
        <v>91.362525887619825</v>
      </c>
      <c r="H15" s="590">
        <f>SUM(H12:H14)</f>
        <v>2450.0520000000001</v>
      </c>
      <c r="I15" s="744">
        <f>SUM(I12:I14)</f>
        <v>90.79408301960629</v>
      </c>
      <c r="J15" s="591">
        <f>SUM(J12:J14)</f>
        <v>714.01400000000001</v>
      </c>
      <c r="K15" s="744">
        <f t="shared" si="17"/>
        <v>95.03738862608445</v>
      </c>
      <c r="L15" s="591">
        <f t="shared" si="17"/>
        <v>3164.0659999999998</v>
      </c>
      <c r="M15" s="747">
        <f t="shared" si="17"/>
        <v>91.718199102606576</v>
      </c>
      <c r="N15" s="592">
        <f>IF(F15&lt;&gt;0,L15*100/F15,"-")</f>
        <v>104.75125076476087</v>
      </c>
    </row>
    <row r="16" spans="1:14" s="195" customFormat="1" ht="14.1" customHeight="1" thickBot="1" x14ac:dyDescent="0.25">
      <c r="A16" s="748" t="s">
        <v>44</v>
      </c>
      <c r="B16" s="749">
        <f>B15+B10</f>
        <v>2572.7580000000003</v>
      </c>
      <c r="C16" s="595">
        <f t="shared" ref="C16:M16" si="18">C15+C10</f>
        <v>99.999999999999986</v>
      </c>
      <c r="D16" s="750">
        <f>D15+D10</f>
        <v>733.35899999999992</v>
      </c>
      <c r="E16" s="595">
        <f t="shared" si="18"/>
        <v>100</v>
      </c>
      <c r="F16" s="750">
        <f t="shared" si="18"/>
        <v>3306.1170000000002</v>
      </c>
      <c r="G16" s="596">
        <f>G15+G10</f>
        <v>100</v>
      </c>
      <c r="H16" s="749">
        <f t="shared" si="18"/>
        <v>2698.471</v>
      </c>
      <c r="I16" s="595">
        <f t="shared" si="18"/>
        <v>100</v>
      </c>
      <c r="J16" s="750">
        <f t="shared" si="18"/>
        <v>751.298</v>
      </c>
      <c r="K16" s="595">
        <f t="shared" si="18"/>
        <v>100</v>
      </c>
      <c r="L16" s="750">
        <f t="shared" si="18"/>
        <v>3449.7689999999998</v>
      </c>
      <c r="M16" s="596">
        <f t="shared" si="18"/>
        <v>100</v>
      </c>
      <c r="N16" s="751">
        <f>IF(F16&lt;&gt;0,L16*100/F16,"-")</f>
        <v>104.34503679089396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25.85546875" style="4" customWidth="1"/>
    <col min="2" max="2" width="7.85546875" style="4" bestFit="1" customWidth="1"/>
    <col min="3" max="3" width="4.85546875" style="4" customWidth="1"/>
    <col min="4" max="4" width="7.42578125" style="4" customWidth="1"/>
    <col min="5" max="5" width="4.7109375" style="4" customWidth="1"/>
    <col min="6" max="6" width="9" style="4" bestFit="1" customWidth="1"/>
    <col min="7" max="7" width="5.28515625" style="4" customWidth="1"/>
    <col min="8" max="8" width="7.85546875" style="4" bestFit="1" customWidth="1"/>
    <col min="9" max="9" width="4.7109375" style="4" customWidth="1"/>
    <col min="10" max="10" width="7.85546875" style="4" customWidth="1"/>
    <col min="11" max="11" width="5" style="4" customWidth="1"/>
    <col min="12" max="12" width="7.85546875" style="4" bestFit="1" customWidth="1"/>
    <col min="13" max="13" width="5.5703125" style="4" customWidth="1"/>
    <col min="14" max="14" width="6.85546875" style="4" customWidth="1"/>
    <col min="15" max="16384" width="8.7109375" style="4"/>
  </cols>
  <sheetData>
    <row r="1" spans="1:14" hidden="1" x14ac:dyDescent="0.2">
      <c r="A1" s="228"/>
      <c r="B1" s="194"/>
      <c r="C1" s="194"/>
      <c r="D1" s="194"/>
      <c r="E1" s="194"/>
      <c r="F1" s="194"/>
      <c r="G1" s="194"/>
      <c r="H1" s="194"/>
      <c r="I1" s="194"/>
      <c r="J1" s="218"/>
      <c r="K1" s="218"/>
      <c r="L1" s="218"/>
      <c r="M1" s="218"/>
      <c r="N1" s="218"/>
    </row>
    <row r="2" spans="1:14" x14ac:dyDescent="0.2">
      <c r="A2" s="229"/>
      <c r="B2" s="230"/>
      <c r="C2" s="230"/>
      <c r="D2" s="230"/>
      <c r="E2" s="230"/>
      <c r="F2" s="230"/>
      <c r="G2" s="230"/>
      <c r="H2" s="230"/>
      <c r="I2" s="230"/>
    </row>
    <row r="3" spans="1:14" x14ac:dyDescent="0.2">
      <c r="A3" s="146" t="s">
        <v>388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438" t="s">
        <v>400</v>
      </c>
    </row>
    <row r="4" spans="1:14" x14ac:dyDescent="0.2">
      <c r="A4" s="765" t="s">
        <v>12</v>
      </c>
      <c r="B4" s="810" t="s">
        <v>532</v>
      </c>
      <c r="C4" s="811"/>
      <c r="D4" s="811"/>
      <c r="E4" s="811"/>
      <c r="F4" s="811"/>
      <c r="G4" s="812"/>
      <c r="H4" s="810" t="s">
        <v>533</v>
      </c>
      <c r="I4" s="811"/>
      <c r="J4" s="811"/>
      <c r="K4" s="811"/>
      <c r="L4" s="811"/>
      <c r="M4" s="812"/>
      <c r="N4" s="807" t="s">
        <v>11</v>
      </c>
    </row>
    <row r="5" spans="1:14" ht="27.95" customHeight="1" x14ac:dyDescent="0.2">
      <c r="A5" s="809"/>
      <c r="B5" s="238" t="s">
        <v>45</v>
      </c>
      <c r="C5" s="227" t="s">
        <v>3</v>
      </c>
      <c r="D5" s="227" t="s">
        <v>136</v>
      </c>
      <c r="E5" s="227" t="s">
        <v>3</v>
      </c>
      <c r="F5" s="227" t="s">
        <v>41</v>
      </c>
      <c r="G5" s="239" t="s">
        <v>3</v>
      </c>
      <c r="H5" s="238" t="s">
        <v>45</v>
      </c>
      <c r="I5" s="227" t="s">
        <v>3</v>
      </c>
      <c r="J5" s="227" t="s">
        <v>136</v>
      </c>
      <c r="K5" s="227" t="s">
        <v>3</v>
      </c>
      <c r="L5" s="227" t="s">
        <v>41</v>
      </c>
      <c r="M5" s="462" t="s">
        <v>3</v>
      </c>
      <c r="N5" s="808"/>
    </row>
    <row r="6" spans="1:14" ht="14.1" customHeight="1" x14ac:dyDescent="0.2">
      <c r="A6" s="8" t="s">
        <v>511</v>
      </c>
      <c r="B6" s="441"/>
      <c r="C6" s="6"/>
      <c r="D6" s="9"/>
      <c r="E6" s="6"/>
      <c r="F6" s="9"/>
      <c r="G6" s="240"/>
      <c r="H6" s="441"/>
      <c r="I6" s="6"/>
      <c r="J6" s="9"/>
      <c r="K6" s="6"/>
      <c r="L6" s="9"/>
      <c r="M6" s="240"/>
      <c r="N6" s="6"/>
    </row>
    <row r="7" spans="1:14" ht="14.1" customHeight="1" x14ac:dyDescent="0.2">
      <c r="A7" s="85" t="s">
        <v>428</v>
      </c>
      <c r="B7" s="443">
        <v>18.948</v>
      </c>
      <c r="C7" s="9">
        <f>IF(B$15&gt;0,B7*100/B$15,0)</f>
        <v>1.1361885156693636</v>
      </c>
      <c r="D7" s="442">
        <v>12.412000000000001</v>
      </c>
      <c r="E7" s="9">
        <f>IF(D$15&gt;0,D7*100/D$15,0)</f>
        <v>2.0146210980106996</v>
      </c>
      <c r="F7" s="9">
        <f>B7+D7</f>
        <v>31.36</v>
      </c>
      <c r="G7" s="223">
        <f>IF(F$15&gt;0,F7*100/F$15,0)</f>
        <v>1.3731638421789869</v>
      </c>
      <c r="H7" s="443">
        <v>15.42</v>
      </c>
      <c r="I7" s="9">
        <f>IF(H$15&gt;0,H7*100/H$15,0)</f>
        <v>0.89265452996123729</v>
      </c>
      <c r="J7" s="442">
        <v>13.688000000000001</v>
      </c>
      <c r="K7" s="9">
        <f>IF(J$15&gt;0,J7*100/J$15,0)</f>
        <v>2.1873501869666652</v>
      </c>
      <c r="L7" s="9">
        <f>H7+J7</f>
        <v>29.108000000000001</v>
      </c>
      <c r="M7" s="223">
        <f>IF(L$15&gt;0,L7*100/L$15,0)</f>
        <v>1.2369476273280944</v>
      </c>
      <c r="N7" s="126">
        <f>IF(F7&lt;&gt;0,L7*100/F7,"-")</f>
        <v>92.818877551020421</v>
      </c>
    </row>
    <row r="8" spans="1:14" ht="14.1" customHeight="1" x14ac:dyDescent="0.2">
      <c r="A8" s="85" t="s">
        <v>429</v>
      </c>
      <c r="B8" s="443">
        <v>3.0990000000000002</v>
      </c>
      <c r="C8" s="9">
        <f t="shared" ref="C8:E12" si="0">IF(B$15&gt;0,B8*100/B$15,0)</f>
        <v>0.18582690574516353</v>
      </c>
      <c r="D8" s="442">
        <v>0.81599999999999995</v>
      </c>
      <c r="E8" s="9">
        <f t="shared" si="0"/>
        <v>0.13244689139354904</v>
      </c>
      <c r="F8" s="9">
        <f t="shared" ref="F8:F11" si="1">B8+D8</f>
        <v>3.915</v>
      </c>
      <c r="G8" s="223">
        <f t="shared" ref="G8:G14" si="2">IF(F$15&gt;0,F8*100/F$15,0)</f>
        <v>0.17142654471080143</v>
      </c>
      <c r="H8" s="443">
        <v>2.9510000000000001</v>
      </c>
      <c r="I8" s="9">
        <f>IF(H$15&gt;0,H8*100/H$15,0)</f>
        <v>0.17083161594783472</v>
      </c>
      <c r="J8" s="442">
        <v>0.379</v>
      </c>
      <c r="K8" s="9">
        <f>IF(J$15&gt;0,J8*100/J$15,0)</f>
        <v>6.0564415609319557E-2</v>
      </c>
      <c r="L8" s="9">
        <f t="shared" ref="L8:L11" si="3">H8+J8</f>
        <v>3.33</v>
      </c>
      <c r="M8" s="223">
        <f t="shared" ref="M8:M14" si="4">IF(L$15&gt;0,L8*100/L$15,0)</f>
        <v>0.1415087123472088</v>
      </c>
      <c r="N8" s="126">
        <f t="shared" ref="N8:N15" si="5">IF(F8&lt;&gt;0,L8*100/F8,"-")</f>
        <v>85.05747126436782</v>
      </c>
    </row>
    <row r="9" spans="1:14" ht="14.1" customHeight="1" x14ac:dyDescent="0.2">
      <c r="A9" s="85" t="s">
        <v>430</v>
      </c>
      <c r="B9" s="443">
        <v>35.533000000000001</v>
      </c>
      <c r="C9" s="9">
        <f t="shared" si="0"/>
        <v>2.1306832661642128</v>
      </c>
      <c r="D9" s="442">
        <v>17.061</v>
      </c>
      <c r="E9" s="9">
        <f t="shared" si="0"/>
        <v>2.7692112917467404</v>
      </c>
      <c r="F9" s="9">
        <f t="shared" si="1"/>
        <v>52.594000000000001</v>
      </c>
      <c r="G9" s="223">
        <f t="shared" si="2"/>
        <v>2.3029393850625524</v>
      </c>
      <c r="H9" s="443">
        <v>34.271999999999998</v>
      </c>
      <c r="I9" s="9">
        <f t="shared" ref="I9:K9" si="6">IF(H$15&gt;0,H9*100/H$15,0)</f>
        <v>1.9839854767076213</v>
      </c>
      <c r="J9" s="442">
        <v>16.18</v>
      </c>
      <c r="K9" s="9">
        <f t="shared" si="6"/>
        <v>2.5855732046406081</v>
      </c>
      <c r="L9" s="9">
        <f t="shared" si="3"/>
        <v>50.451999999999998</v>
      </c>
      <c r="M9" s="223">
        <f t="shared" si="4"/>
        <v>2.143963229832246</v>
      </c>
      <c r="N9" s="126">
        <f t="shared" si="5"/>
        <v>95.927292086549798</v>
      </c>
    </row>
    <row r="10" spans="1:14" ht="14.1" customHeight="1" x14ac:dyDescent="0.2">
      <c r="A10" s="85" t="s">
        <v>431</v>
      </c>
      <c r="B10" s="441">
        <v>67.739999999999995</v>
      </c>
      <c r="C10" s="9">
        <f t="shared" si="0"/>
        <v>4.061927910673564</v>
      </c>
      <c r="D10" s="9">
        <v>23.141999999999999</v>
      </c>
      <c r="E10" s="9">
        <f t="shared" si="0"/>
        <v>3.7562327948891077</v>
      </c>
      <c r="F10" s="226">
        <f t="shared" si="1"/>
        <v>90.881999999999991</v>
      </c>
      <c r="G10" s="223">
        <f t="shared" si="2"/>
        <v>3.9794603413555696</v>
      </c>
      <c r="H10" s="441">
        <v>68.745999999999995</v>
      </c>
      <c r="I10" s="9">
        <f t="shared" ref="I10:K10" si="7">IF(H$15&gt;0,H10*100/H$15,0)</f>
        <v>3.979664611978937</v>
      </c>
      <c r="J10" s="9">
        <v>23.295000000000002</v>
      </c>
      <c r="K10" s="9">
        <f t="shared" si="7"/>
        <v>3.7225542522931376</v>
      </c>
      <c r="L10" s="226">
        <f t="shared" si="3"/>
        <v>92.040999999999997</v>
      </c>
      <c r="M10" s="223">
        <f t="shared" si="4"/>
        <v>3.9112923102550892</v>
      </c>
      <c r="N10" s="126">
        <f t="shared" si="5"/>
        <v>101.27528003344999</v>
      </c>
    </row>
    <row r="11" spans="1:14" ht="14.1" customHeight="1" x14ac:dyDescent="0.2">
      <c r="A11" s="85" t="s">
        <v>432</v>
      </c>
      <c r="B11" s="443">
        <v>0</v>
      </c>
      <c r="C11" s="9">
        <f t="shared" si="0"/>
        <v>0</v>
      </c>
      <c r="D11" s="442">
        <v>0</v>
      </c>
      <c r="E11" s="9">
        <f t="shared" si="0"/>
        <v>0</v>
      </c>
      <c r="F11" s="9">
        <f t="shared" si="1"/>
        <v>0</v>
      </c>
      <c r="G11" s="223">
        <f t="shared" si="2"/>
        <v>0</v>
      </c>
      <c r="H11" s="443">
        <v>0</v>
      </c>
      <c r="I11" s="9">
        <f t="shared" ref="I11:K11" si="8">IF(H$15&gt;0,H11*100/H$15,0)</f>
        <v>0</v>
      </c>
      <c r="J11" s="442">
        <v>0</v>
      </c>
      <c r="K11" s="9">
        <f t="shared" si="8"/>
        <v>0</v>
      </c>
      <c r="L11" s="9">
        <f t="shared" si="3"/>
        <v>0</v>
      </c>
      <c r="M11" s="223">
        <f t="shared" si="4"/>
        <v>0</v>
      </c>
      <c r="N11" s="126" t="str">
        <f t="shared" si="5"/>
        <v>-</v>
      </c>
    </row>
    <row r="12" spans="1:14" ht="14.1" customHeight="1" x14ac:dyDescent="0.2">
      <c r="A12" s="85" t="s">
        <v>518</v>
      </c>
      <c r="B12" s="443">
        <v>1513.4459999999999</v>
      </c>
      <c r="C12" s="9">
        <f t="shared" si="0"/>
        <v>90.751528619682063</v>
      </c>
      <c r="D12" s="442">
        <v>550.80700000000002</v>
      </c>
      <c r="E12" s="9">
        <f t="shared" si="0"/>
        <v>89.402787877213953</v>
      </c>
      <c r="F12" s="9">
        <f t="shared" ref="F12:F14" si="9">B12+D12</f>
        <v>2064.2529999999997</v>
      </c>
      <c r="G12" s="223">
        <f t="shared" si="2"/>
        <v>90.387677956297821</v>
      </c>
      <c r="H12" s="443">
        <v>1576.9280000000001</v>
      </c>
      <c r="I12" s="9">
        <f t="shared" ref="I12:K12" si="10">IF(H$15&gt;0,H12*100/H$15,0)</f>
        <v>91.287413918463955</v>
      </c>
      <c r="J12" s="442">
        <v>560.48400000000004</v>
      </c>
      <c r="K12" s="9">
        <f t="shared" si="10"/>
        <v>89.565662053756895</v>
      </c>
      <c r="L12" s="9">
        <f t="shared" ref="L12:L14" si="11">H12+J12</f>
        <v>2137.4120000000003</v>
      </c>
      <c r="M12" s="223">
        <f t="shared" si="4"/>
        <v>90.82955551815985</v>
      </c>
      <c r="N12" s="126">
        <f t="shared" si="5"/>
        <v>103.54409076794367</v>
      </c>
    </row>
    <row r="13" spans="1:14" ht="14.1" customHeight="1" x14ac:dyDescent="0.2">
      <c r="A13" s="85" t="s">
        <v>433</v>
      </c>
      <c r="B13" s="443">
        <v>6.9039999999999999</v>
      </c>
      <c r="C13" s="9">
        <f>IF(B$15&gt;0,B13*100/B$15,0)</f>
        <v>0.41398804687467211</v>
      </c>
      <c r="D13" s="442">
        <v>0</v>
      </c>
      <c r="E13" s="9">
        <f>IF(D$15&gt;0,D13*100/D$15,0)</f>
        <v>0</v>
      </c>
      <c r="F13" s="9">
        <f t="shared" si="9"/>
        <v>6.9039999999999999</v>
      </c>
      <c r="G13" s="223">
        <f t="shared" si="2"/>
        <v>0.30230622341848612</v>
      </c>
      <c r="H13" s="443">
        <v>7.3730000000000002</v>
      </c>
      <c r="I13" s="9">
        <f>IF(H$15&gt;0,H13*100/H$15,0)</f>
        <v>0.42681853757485105</v>
      </c>
      <c r="J13" s="442">
        <v>0</v>
      </c>
      <c r="K13" s="9">
        <f>IF(J$15&gt;0,J13*100/J$15,0)</f>
        <v>0</v>
      </c>
      <c r="L13" s="9">
        <f t="shared" si="11"/>
        <v>7.3730000000000002</v>
      </c>
      <c r="M13" s="223">
        <f t="shared" si="4"/>
        <v>0.31331643727806924</v>
      </c>
      <c r="N13" s="126">
        <f>IF(F13&lt;&gt;0,L13*100/F13,"-")</f>
        <v>106.79316338354579</v>
      </c>
    </row>
    <row r="14" spans="1:14" ht="24" x14ac:dyDescent="0.2">
      <c r="A14" s="85" t="s">
        <v>517</v>
      </c>
      <c r="B14" s="443">
        <v>22.010999999999999</v>
      </c>
      <c r="C14" s="9">
        <f>IF(B$15&gt;0,B14*100/B$15,0)</f>
        <v>1.3198567351909629</v>
      </c>
      <c r="D14" s="442">
        <v>11.858000000000001</v>
      </c>
      <c r="E14" s="9">
        <f>IF(D$15&gt;0,D14*100/D$15,0)</f>
        <v>1.9247000467459616</v>
      </c>
      <c r="F14" s="9">
        <f t="shared" si="9"/>
        <v>33.869</v>
      </c>
      <c r="G14" s="223">
        <f t="shared" si="2"/>
        <v>1.4830257069757686</v>
      </c>
      <c r="H14" s="443">
        <v>21.742000000000001</v>
      </c>
      <c r="I14" s="9">
        <f>IF(H$15&gt;0,H14*100/H$15,0)</f>
        <v>1.2586313093655785</v>
      </c>
      <c r="J14" s="442">
        <v>11.754</v>
      </c>
      <c r="K14" s="9">
        <f>IF(J$15&gt;0,J14*100/J$15,0)</f>
        <v>1.8782958867333563</v>
      </c>
      <c r="L14" s="9">
        <f t="shared" si="11"/>
        <v>33.496000000000002</v>
      </c>
      <c r="M14" s="223">
        <f t="shared" si="4"/>
        <v>1.4234161647994314</v>
      </c>
      <c r="N14" s="126">
        <f t="shared" si="5"/>
        <v>98.898697924355616</v>
      </c>
    </row>
    <row r="15" spans="1:14" s="219" customFormat="1" ht="14.1" customHeight="1" thickBot="1" x14ac:dyDescent="0.25">
      <c r="A15" s="186" t="s">
        <v>137</v>
      </c>
      <c r="B15" s="460">
        <f>SUM(B7:B14)</f>
        <v>1667.6809999999998</v>
      </c>
      <c r="C15" s="236">
        <f>SUM(C7:C14)</f>
        <v>100.00000000000001</v>
      </c>
      <c r="D15" s="461">
        <f>SUM(D7:D14)</f>
        <v>616.096</v>
      </c>
      <c r="E15" s="236">
        <f t="shared" ref="E15:M15" si="12">SUM(E7:E14)</f>
        <v>100.00000000000001</v>
      </c>
      <c r="F15" s="461">
        <f>SUM(F7:F14)</f>
        <v>2283.777</v>
      </c>
      <c r="G15" s="241">
        <f t="shared" si="12"/>
        <v>99.999999999999986</v>
      </c>
      <c r="H15" s="460">
        <f t="shared" si="12"/>
        <v>1727.432</v>
      </c>
      <c r="I15" s="236">
        <f t="shared" si="12"/>
        <v>100.00000000000001</v>
      </c>
      <c r="J15" s="461">
        <f t="shared" si="12"/>
        <v>625.78000000000009</v>
      </c>
      <c r="K15" s="236">
        <f t="shared" si="12"/>
        <v>99.999999999999986</v>
      </c>
      <c r="L15" s="461">
        <f t="shared" si="12"/>
        <v>2353.2120000000004</v>
      </c>
      <c r="M15" s="241">
        <f t="shared" si="12"/>
        <v>100</v>
      </c>
      <c r="N15" s="237">
        <f t="shared" si="5"/>
        <v>103.04035814354906</v>
      </c>
    </row>
    <row r="16" spans="1:14" ht="14.1" customHeight="1" x14ac:dyDescent="0.2"/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G35"/>
  <sheetViews>
    <sheetView topLeftCell="A2" zoomScaleNormal="100" workbookViewId="0">
      <selection activeCell="A3" sqref="A3:F3"/>
    </sheetView>
  </sheetViews>
  <sheetFormatPr defaultColWidth="8.7109375" defaultRowHeight="12" x14ac:dyDescent="0.2"/>
  <cols>
    <col min="1" max="1" width="35.5703125" style="4" customWidth="1"/>
    <col min="2" max="7" width="8.5703125" style="4" customWidth="1"/>
    <col min="8" max="16384" width="8.7109375" style="4"/>
  </cols>
  <sheetData>
    <row r="1" spans="1:7" hidden="1" x14ac:dyDescent="0.2">
      <c r="B1" s="194"/>
      <c r="C1" s="194"/>
    </row>
    <row r="2" spans="1:7" x14ac:dyDescent="0.2">
      <c r="C2" s="258"/>
      <c r="D2" s="258"/>
      <c r="E2" s="258"/>
      <c r="F2" s="26"/>
      <c r="G2" s="26"/>
    </row>
    <row r="3" spans="1:7" x14ac:dyDescent="0.2">
      <c r="A3" s="815" t="s">
        <v>340</v>
      </c>
      <c r="B3" s="816"/>
      <c r="C3" s="816"/>
      <c r="D3" s="816"/>
      <c r="E3" s="816"/>
      <c r="F3" s="816"/>
      <c r="G3" s="438" t="s">
        <v>400</v>
      </c>
    </row>
    <row r="4" spans="1:7" x14ac:dyDescent="0.2">
      <c r="A4" s="813" t="s">
        <v>12</v>
      </c>
      <c r="B4" s="768" t="s">
        <v>532</v>
      </c>
      <c r="C4" s="770"/>
      <c r="D4" s="768" t="s">
        <v>533</v>
      </c>
      <c r="E4" s="770"/>
      <c r="F4" s="777" t="s">
        <v>434</v>
      </c>
      <c r="G4" s="784" t="s">
        <v>435</v>
      </c>
    </row>
    <row r="5" spans="1:7" ht="24" x14ac:dyDescent="0.2">
      <c r="A5" s="814"/>
      <c r="B5" s="259" t="s">
        <v>129</v>
      </c>
      <c r="C5" s="260" t="s">
        <v>130</v>
      </c>
      <c r="D5" s="259" t="s">
        <v>129</v>
      </c>
      <c r="E5" s="260" t="s">
        <v>130</v>
      </c>
      <c r="F5" s="776"/>
      <c r="G5" s="784"/>
    </row>
    <row r="6" spans="1:7" ht="14.1" customHeight="1" x14ac:dyDescent="0.2">
      <c r="A6" s="242" t="s">
        <v>138</v>
      </c>
      <c r="B6" s="243">
        <v>6515.2150000000001</v>
      </c>
      <c r="C6" s="244">
        <v>5493.8069999999998</v>
      </c>
      <c r="D6" s="243">
        <v>7089.933</v>
      </c>
      <c r="E6" s="244">
        <v>5605.1989999999996</v>
      </c>
      <c r="F6" s="126">
        <f>IF(B6&gt;0,D6*100/B6,"-")</f>
        <v>108.82116706816277</v>
      </c>
      <c r="G6" s="126">
        <f>IF(C6&gt;0,E6*100/C6,"-")</f>
        <v>102.02759215968088</v>
      </c>
    </row>
    <row r="7" spans="1:7" ht="14.1" customHeight="1" x14ac:dyDescent="0.2">
      <c r="A7" s="242" t="s">
        <v>139</v>
      </c>
      <c r="B7" s="245">
        <v>1003.586</v>
      </c>
      <c r="C7" s="246">
        <v>1594.4849999999999</v>
      </c>
      <c r="D7" s="245">
        <v>1075.3920000000001</v>
      </c>
      <c r="E7" s="246">
        <v>1636.924</v>
      </c>
      <c r="F7" s="10">
        <f t="shared" ref="F7:G10" si="0">IF(B7&gt;0,D7*100/B7,"-")</f>
        <v>107.15494237663739</v>
      </c>
      <c r="G7" s="126">
        <f t="shared" si="0"/>
        <v>102.66161174297658</v>
      </c>
    </row>
    <row r="8" spans="1:7" ht="14.1" customHeight="1" x14ac:dyDescent="0.2">
      <c r="A8" s="242" t="s">
        <v>519</v>
      </c>
      <c r="B8" s="243">
        <f>B6+B7</f>
        <v>7518.8010000000004</v>
      </c>
      <c r="C8" s="244">
        <f t="shared" ref="C8:E8" si="1">C6+C7</f>
        <v>7088.2919999999995</v>
      </c>
      <c r="D8" s="243">
        <f t="shared" si="1"/>
        <v>8165.3249999999998</v>
      </c>
      <c r="E8" s="244">
        <f t="shared" si="1"/>
        <v>7242.1229999999996</v>
      </c>
      <c r="F8" s="126">
        <f t="shared" si="0"/>
        <v>108.59876461685846</v>
      </c>
      <c r="G8" s="126">
        <f t="shared" si="0"/>
        <v>102.17021251381856</v>
      </c>
    </row>
    <row r="9" spans="1:7" ht="14.1" customHeight="1" x14ac:dyDescent="0.2">
      <c r="A9" s="242" t="s">
        <v>140</v>
      </c>
      <c r="B9" s="245">
        <v>360.52600000000001</v>
      </c>
      <c r="C9" s="246">
        <v>273.71499999999997</v>
      </c>
      <c r="D9" s="245">
        <v>432.64</v>
      </c>
      <c r="E9" s="246">
        <v>270.55900000000003</v>
      </c>
      <c r="F9" s="10">
        <f t="shared" si="0"/>
        <v>120.00244087805041</v>
      </c>
      <c r="G9" s="126">
        <f t="shared" si="0"/>
        <v>98.846975869060898</v>
      </c>
    </row>
    <row r="10" spans="1:7" s="219" customFormat="1" ht="14.1" customHeight="1" thickBot="1" x14ac:dyDescent="0.25">
      <c r="A10" s="247" t="s">
        <v>191</v>
      </c>
      <c r="B10" s="248">
        <f>B8-B9</f>
        <v>7158.2750000000005</v>
      </c>
      <c r="C10" s="249">
        <f t="shared" ref="C10:E10" si="2">C8-C9</f>
        <v>6814.5769999999993</v>
      </c>
      <c r="D10" s="248">
        <f t="shared" si="2"/>
        <v>7732.6849999999995</v>
      </c>
      <c r="E10" s="249">
        <f t="shared" si="2"/>
        <v>6971.5639999999994</v>
      </c>
      <c r="F10" s="250">
        <f t="shared" si="0"/>
        <v>108.02441929096045</v>
      </c>
      <c r="G10" s="251">
        <f t="shared" si="0"/>
        <v>102.30369397836432</v>
      </c>
    </row>
    <row r="13" spans="1:7" s="196" customFormat="1" x14ac:dyDescent="0.2"/>
    <row r="14" spans="1:7" s="196" customFormat="1" x14ac:dyDescent="0.2"/>
    <row r="15" spans="1:7" s="196" customFormat="1" x14ac:dyDescent="0.2"/>
    <row r="16" spans="1:7" s="196" customFormat="1" x14ac:dyDescent="0.2"/>
    <row r="17" spans="1:7" s="196" customFormat="1" x14ac:dyDescent="0.2"/>
    <row r="18" spans="1:7" s="196" customFormat="1" x14ac:dyDescent="0.2">
      <c r="A18" s="261"/>
      <c r="B18" s="261"/>
      <c r="C18" s="261"/>
      <c r="D18" s="261"/>
      <c r="E18" s="261"/>
      <c r="F18" s="261"/>
      <c r="G18" s="261"/>
    </row>
    <row r="19" spans="1:7" s="196" customFormat="1" x14ac:dyDescent="0.2">
      <c r="A19" s="29"/>
      <c r="B19" s="24"/>
      <c r="C19" s="24"/>
      <c r="D19" s="24"/>
      <c r="E19" s="24"/>
      <c r="F19" s="24"/>
      <c r="G19" s="24"/>
    </row>
    <row r="20" spans="1:7" s="196" customFormat="1" x14ac:dyDescent="0.2">
      <c r="A20" s="29"/>
      <c r="B20" s="253"/>
      <c r="C20" s="253"/>
      <c r="D20" s="253"/>
      <c r="E20" s="253"/>
      <c r="F20" s="252"/>
      <c r="G20" s="24"/>
    </row>
    <row r="21" spans="1:7" s="196" customFormat="1" x14ac:dyDescent="0.2">
      <c r="A21" s="29"/>
      <c r="B21" s="24"/>
      <c r="C21" s="24"/>
      <c r="D21" s="24"/>
      <c r="E21" s="24"/>
      <c r="F21" s="24"/>
      <c r="G21" s="24"/>
    </row>
    <row r="22" spans="1:7" s="196" customFormat="1" x14ac:dyDescent="0.2">
      <c r="A22" s="29"/>
      <c r="B22" s="253"/>
      <c r="C22" s="253"/>
      <c r="D22" s="253"/>
      <c r="E22" s="253"/>
      <c r="F22" s="252"/>
      <c r="G22" s="24"/>
    </row>
    <row r="23" spans="1:7" s="196" customFormat="1" x14ac:dyDescent="0.2">
      <c r="A23" s="30"/>
      <c r="B23" s="254"/>
      <c r="C23" s="254"/>
      <c r="D23" s="254"/>
      <c r="E23" s="254"/>
      <c r="F23" s="255"/>
      <c r="G23" s="256"/>
    </row>
    <row r="24" spans="1:7" s="196" customFormat="1" x14ac:dyDescent="0.2"/>
    <row r="25" spans="1:7" s="196" customFormat="1" x14ac:dyDescent="0.2"/>
    <row r="26" spans="1:7" s="196" customFormat="1" x14ac:dyDescent="0.2"/>
    <row r="27" spans="1:7" s="196" customFormat="1" x14ac:dyDescent="0.2"/>
    <row r="28" spans="1:7" s="196" customFormat="1" x14ac:dyDescent="0.2"/>
    <row r="29" spans="1:7" s="196" customFormat="1" x14ac:dyDescent="0.2"/>
    <row r="30" spans="1:7" s="196" customFormat="1" x14ac:dyDescent="0.2"/>
    <row r="31" spans="1:7" s="196" customFormat="1" x14ac:dyDescent="0.2"/>
    <row r="32" spans="1:7" s="196" customFormat="1" x14ac:dyDescent="0.2"/>
    <row r="33" s="196" customFormat="1" x14ac:dyDescent="0.2"/>
    <row r="34" s="196" customFormat="1" x14ac:dyDescent="0.2"/>
    <row r="35" s="196" customFormat="1" x14ac:dyDescent="0.2"/>
  </sheetData>
  <customSheetViews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/>
  <dimension ref="A1:H15"/>
  <sheetViews>
    <sheetView topLeftCell="A3" zoomScaleNormal="100" workbookViewId="0">
      <selection activeCell="A4" sqref="A4"/>
    </sheetView>
  </sheetViews>
  <sheetFormatPr defaultColWidth="9.140625" defaultRowHeight="12" x14ac:dyDescent="0.2"/>
  <cols>
    <col min="1" max="1" width="4.5703125" style="26" customWidth="1"/>
    <col min="2" max="2" width="39.42578125" style="4" customWidth="1"/>
    <col min="3" max="6" width="10.5703125" style="4" customWidth="1"/>
    <col min="7" max="7" width="9.140625" style="4"/>
    <col min="8" max="8" width="10.5703125" style="4" customWidth="1"/>
    <col min="9" max="16384" width="9.140625" style="4"/>
  </cols>
  <sheetData>
    <row r="1" spans="1:8" hidden="1" x14ac:dyDescent="0.2">
      <c r="B1" s="257"/>
      <c r="C1" s="257"/>
      <c r="G1" s="218"/>
    </row>
    <row r="2" spans="1:8" hidden="1" x14ac:dyDescent="0.2">
      <c r="G2" s="196"/>
      <c r="H2" s="216"/>
    </row>
    <row r="3" spans="1:8" x14ac:dyDescent="0.2">
      <c r="G3" s="218"/>
    </row>
    <row r="4" spans="1:8" ht="14.45" customHeight="1" x14ac:dyDescent="0.2">
      <c r="A4" s="192" t="s">
        <v>390</v>
      </c>
      <c r="B4" s="65"/>
      <c r="C4" s="65"/>
      <c r="D4" s="65"/>
      <c r="E4" s="65"/>
      <c r="F4" s="438" t="s">
        <v>400</v>
      </c>
    </row>
    <row r="5" spans="1:8" ht="24.95" customHeight="1" x14ac:dyDescent="0.2">
      <c r="A5" s="817" t="s">
        <v>12</v>
      </c>
      <c r="B5" s="817"/>
      <c r="C5" s="279" t="s">
        <v>531</v>
      </c>
      <c r="D5" s="279" t="s">
        <v>532</v>
      </c>
      <c r="E5" s="279" t="s">
        <v>533</v>
      </c>
      <c r="F5" s="278" t="s">
        <v>11</v>
      </c>
    </row>
    <row r="6" spans="1:8" ht="15" customHeight="1" x14ac:dyDescent="0.2">
      <c r="A6" s="262" t="s">
        <v>67</v>
      </c>
      <c r="B6" s="263" t="s">
        <v>230</v>
      </c>
      <c r="C6" s="264">
        <v>2502.1010000000001</v>
      </c>
      <c r="D6" s="265">
        <v>2572.7579999999998</v>
      </c>
      <c r="E6" s="265">
        <v>2698.471</v>
      </c>
      <c r="F6" s="266">
        <f>IF(D6&gt;0,E6*100/D6,"-")</f>
        <v>104.88631266524096</v>
      </c>
      <c r="G6" s="258"/>
    </row>
    <row r="7" spans="1:8" ht="15" customHeight="1" x14ac:dyDescent="0.2">
      <c r="A7" s="262" t="s">
        <v>91</v>
      </c>
      <c r="B7" s="263" t="s">
        <v>231</v>
      </c>
      <c r="C7" s="264">
        <v>164.626</v>
      </c>
      <c r="D7" s="265">
        <v>184.816</v>
      </c>
      <c r="E7" s="265">
        <v>201.655</v>
      </c>
      <c r="F7" s="266">
        <f>IF(D7&gt;0,E7*100/D7,"-")</f>
        <v>109.11122413643841</v>
      </c>
      <c r="G7" s="258"/>
    </row>
    <row r="8" spans="1:8" ht="15" customHeight="1" x14ac:dyDescent="0.2">
      <c r="A8" s="267" t="s">
        <v>4</v>
      </c>
      <c r="B8" s="268" t="s">
        <v>232</v>
      </c>
      <c r="C8" s="269">
        <f>C6-C7</f>
        <v>2337.4749999999999</v>
      </c>
      <c r="D8" s="270">
        <f>D6-D7</f>
        <v>2387.942</v>
      </c>
      <c r="E8" s="270">
        <f>E6-E7</f>
        <v>2496.8159999999998</v>
      </c>
      <c r="F8" s="271">
        <f t="shared" ref="F8" si="0">IF(D8&gt;0,E8*100/D8,"-")</f>
        <v>104.5593234676554</v>
      </c>
      <c r="G8" s="258"/>
    </row>
    <row r="9" spans="1:8" ht="15" customHeight="1" x14ac:dyDescent="0.2">
      <c r="A9" s="262" t="s">
        <v>233</v>
      </c>
      <c r="B9" s="263" t="s">
        <v>230</v>
      </c>
      <c r="C9" s="264">
        <v>119.376</v>
      </c>
      <c r="D9" s="265">
        <v>131.57599999999999</v>
      </c>
      <c r="E9" s="265">
        <v>133.50200000000001</v>
      </c>
      <c r="F9" s="266">
        <f>IF(D9&gt;0,E9*100/D9,"-")</f>
        <v>101.46379278895849</v>
      </c>
    </row>
    <row r="10" spans="1:8" ht="15" customHeight="1" x14ac:dyDescent="0.2">
      <c r="A10" s="262" t="s">
        <v>234</v>
      </c>
      <c r="B10" s="263" t="s">
        <v>231</v>
      </c>
      <c r="C10" s="264">
        <v>18.922000000000001</v>
      </c>
      <c r="D10" s="265">
        <v>18.588000000000001</v>
      </c>
      <c r="E10" s="265">
        <v>18.760000000000002</v>
      </c>
      <c r="F10" s="266">
        <f>IF(D10&gt;0,E10*100/D10,"-")</f>
        <v>100.925328168711</v>
      </c>
    </row>
    <row r="11" spans="1:8" ht="15" customHeight="1" x14ac:dyDescent="0.2">
      <c r="A11" s="267" t="s">
        <v>5</v>
      </c>
      <c r="B11" s="272" t="s">
        <v>235</v>
      </c>
      <c r="C11" s="269">
        <f>C9-C10</f>
        <v>100.45400000000001</v>
      </c>
      <c r="D11" s="270">
        <f>D9-D10</f>
        <v>112.988</v>
      </c>
      <c r="E11" s="270">
        <f>E9-E10</f>
        <v>114.742</v>
      </c>
      <c r="F11" s="271">
        <f>IF(D11&gt;0,E11*100/D11,"-")</f>
        <v>101.5523772436011</v>
      </c>
    </row>
    <row r="12" spans="1:8" ht="15" customHeight="1" x14ac:dyDescent="0.2">
      <c r="A12" s="262" t="s">
        <v>236</v>
      </c>
      <c r="B12" s="263" t="s">
        <v>230</v>
      </c>
      <c r="C12" s="273">
        <v>737.78099999999995</v>
      </c>
      <c r="D12" s="264">
        <v>733.35900000000004</v>
      </c>
      <c r="E12" s="264">
        <v>751.298</v>
      </c>
      <c r="F12" s="266">
        <f>IF(D12&gt;0,E12*100/D12,"-")</f>
        <v>102.44614165776925</v>
      </c>
    </row>
    <row r="13" spans="1:8" ht="15" customHeight="1" x14ac:dyDescent="0.2">
      <c r="A13" s="262" t="s">
        <v>237</v>
      </c>
      <c r="B13" s="263" t="s">
        <v>231</v>
      </c>
      <c r="C13" s="273">
        <v>4.367</v>
      </c>
      <c r="D13" s="264">
        <v>10.731</v>
      </c>
      <c r="E13" s="264">
        <v>8.9109999999999996</v>
      </c>
      <c r="F13" s="266">
        <f t="shared" ref="F13:F14" si="1">IF(D13&gt;0,E13*100/D13,"-")</f>
        <v>83.039791258969331</v>
      </c>
    </row>
    <row r="14" spans="1:8" ht="15" customHeight="1" x14ac:dyDescent="0.2">
      <c r="A14" s="262" t="s">
        <v>6</v>
      </c>
      <c r="B14" s="263" t="s">
        <v>238</v>
      </c>
      <c r="C14" s="273">
        <f>C12-C13</f>
        <v>733.41399999999999</v>
      </c>
      <c r="D14" s="264">
        <f>D12-D13</f>
        <v>722.62800000000004</v>
      </c>
      <c r="E14" s="264">
        <f>E12-E13</f>
        <v>742.38700000000006</v>
      </c>
      <c r="F14" s="266">
        <f t="shared" si="1"/>
        <v>102.73432526832617</v>
      </c>
    </row>
    <row r="15" spans="1:8" s="219" customFormat="1" ht="15" customHeight="1" thickBot="1" x14ac:dyDescent="0.25">
      <c r="A15" s="274"/>
      <c r="B15" s="275" t="s">
        <v>239</v>
      </c>
      <c r="C15" s="276">
        <f>C8-C11+C14</f>
        <v>2970.4349999999995</v>
      </c>
      <c r="D15" s="276">
        <f>D8-D11+D14</f>
        <v>2997.5820000000003</v>
      </c>
      <c r="E15" s="276">
        <f>E8-E11+E14</f>
        <v>3124.4609999999998</v>
      </c>
      <c r="F15" s="277">
        <f>IF(D15&gt;0,E15*100/D15,"-")</f>
        <v>104.2327115655218</v>
      </c>
    </row>
  </sheetData>
  <mergeCells count="1">
    <mergeCell ref="A5:B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7"/>
  <sheetViews>
    <sheetView zoomScaleNormal="100" workbookViewId="0"/>
  </sheetViews>
  <sheetFormatPr defaultRowHeight="15" x14ac:dyDescent="0.25"/>
  <cols>
    <col min="1" max="1" width="10.7109375" customWidth="1"/>
    <col min="2" max="2" width="89.42578125" customWidth="1"/>
    <col min="3" max="3" width="15.140625" style="61" customWidth="1"/>
    <col min="7" max="7" width="6.5703125" customWidth="1"/>
  </cols>
  <sheetData>
    <row r="1" spans="1:7" s="58" customFormat="1" ht="15.75" customHeight="1" thickBot="1" x14ac:dyDescent="0.3">
      <c r="A1" s="62" t="s">
        <v>383</v>
      </c>
      <c r="B1" s="62"/>
      <c r="C1" s="61"/>
      <c r="D1" s="34"/>
      <c r="E1" s="34"/>
      <c r="F1" s="34"/>
      <c r="G1" s="34"/>
    </row>
    <row r="2" spans="1:7" ht="15.75" thickTop="1" x14ac:dyDescent="0.25">
      <c r="A2" s="60" t="s">
        <v>353</v>
      </c>
      <c r="B2" s="699" t="s">
        <v>330</v>
      </c>
    </row>
    <row r="3" spans="1:7" x14ac:dyDescent="0.25">
      <c r="A3" s="60" t="s">
        <v>354</v>
      </c>
      <c r="B3" s="699" t="s">
        <v>331</v>
      </c>
      <c r="D3" s="60"/>
      <c r="E3" s="47"/>
    </row>
    <row r="4" spans="1:7" x14ac:dyDescent="0.25">
      <c r="A4" s="60" t="s">
        <v>300</v>
      </c>
      <c r="B4" s="699" t="s">
        <v>332</v>
      </c>
      <c r="D4" s="60"/>
      <c r="E4" s="63"/>
    </row>
    <row r="5" spans="1:7" x14ac:dyDescent="0.25">
      <c r="A5" s="60" t="s">
        <v>355</v>
      </c>
      <c r="B5" s="699" t="s">
        <v>333</v>
      </c>
    </row>
    <row r="6" spans="1:7" x14ac:dyDescent="0.25">
      <c r="A6" s="60" t="s">
        <v>301</v>
      </c>
      <c r="B6" s="699" t="s">
        <v>334</v>
      </c>
    </row>
    <row r="7" spans="1:7" x14ac:dyDescent="0.25">
      <c r="A7" s="60" t="s">
        <v>356</v>
      </c>
      <c r="B7" s="699" t="s">
        <v>335</v>
      </c>
    </row>
    <row r="8" spans="1:7" x14ac:dyDescent="0.25">
      <c r="A8" s="60" t="s">
        <v>357</v>
      </c>
      <c r="B8" s="699" t="s">
        <v>336</v>
      </c>
    </row>
    <row r="9" spans="1:7" x14ac:dyDescent="0.25">
      <c r="A9" s="60" t="s">
        <v>302</v>
      </c>
      <c r="B9" s="699" t="s">
        <v>385</v>
      </c>
    </row>
    <row r="10" spans="1:7" x14ac:dyDescent="0.25">
      <c r="A10" s="60" t="s">
        <v>358</v>
      </c>
      <c r="B10" s="699" t="s">
        <v>337</v>
      </c>
    </row>
    <row r="11" spans="1:7" x14ac:dyDescent="0.25">
      <c r="A11" s="60" t="s">
        <v>303</v>
      </c>
      <c r="B11" s="699" t="s">
        <v>338</v>
      </c>
    </row>
    <row r="12" spans="1:7" x14ac:dyDescent="0.25">
      <c r="A12" s="60" t="s">
        <v>359</v>
      </c>
      <c r="B12" s="699" t="s">
        <v>339</v>
      </c>
    </row>
    <row r="13" spans="1:7" x14ac:dyDescent="0.25">
      <c r="A13" s="60" t="s">
        <v>360</v>
      </c>
      <c r="B13" s="699" t="s">
        <v>387</v>
      </c>
    </row>
    <row r="14" spans="1:7" x14ac:dyDescent="0.25">
      <c r="A14" s="60" t="s">
        <v>361</v>
      </c>
      <c r="B14" s="699" t="s">
        <v>386</v>
      </c>
    </row>
    <row r="15" spans="1:7" x14ac:dyDescent="0.25">
      <c r="A15" s="60" t="s">
        <v>362</v>
      </c>
      <c r="B15" s="699" t="s">
        <v>389</v>
      </c>
    </row>
    <row r="16" spans="1:7" x14ac:dyDescent="0.25">
      <c r="A16" s="60" t="s">
        <v>363</v>
      </c>
      <c r="B16" s="699" t="s">
        <v>388</v>
      </c>
    </row>
    <row r="17" spans="1:6" x14ac:dyDescent="0.25">
      <c r="A17" s="60" t="s">
        <v>364</v>
      </c>
      <c r="B17" s="699" t="s">
        <v>340</v>
      </c>
    </row>
    <row r="18" spans="1:6" x14ac:dyDescent="0.25">
      <c r="A18" s="60" t="s">
        <v>304</v>
      </c>
      <c r="B18" s="699" t="s">
        <v>390</v>
      </c>
    </row>
    <row r="19" spans="1:6" x14ac:dyDescent="0.25">
      <c r="A19" s="60" t="s">
        <v>365</v>
      </c>
      <c r="B19" s="699" t="s">
        <v>341</v>
      </c>
    </row>
    <row r="20" spans="1:6" x14ac:dyDescent="0.25">
      <c r="A20" s="60" t="s">
        <v>366</v>
      </c>
      <c r="B20" s="699" t="s">
        <v>342</v>
      </c>
    </row>
    <row r="21" spans="1:6" s="14" customFormat="1" x14ac:dyDescent="0.25">
      <c r="A21" s="60" t="s">
        <v>367</v>
      </c>
      <c r="B21" s="699" t="s">
        <v>343</v>
      </c>
      <c r="C21" s="61"/>
    </row>
    <row r="22" spans="1:6" s="14" customFormat="1" x14ac:dyDescent="0.25">
      <c r="A22" s="60" t="s">
        <v>368</v>
      </c>
      <c r="B22" s="699" t="s">
        <v>344</v>
      </c>
      <c r="C22" s="61"/>
    </row>
    <row r="23" spans="1:6" s="14" customFormat="1" x14ac:dyDescent="0.25">
      <c r="A23" s="60" t="s">
        <v>369</v>
      </c>
      <c r="B23" s="699" t="s">
        <v>345</v>
      </c>
      <c r="C23" s="61"/>
    </row>
    <row r="24" spans="1:6" x14ac:dyDescent="0.25">
      <c r="A24" s="60" t="s">
        <v>370</v>
      </c>
      <c r="B24" s="699" t="s">
        <v>346</v>
      </c>
    </row>
    <row r="25" spans="1:6" x14ac:dyDescent="0.25">
      <c r="A25" s="60" t="s">
        <v>371</v>
      </c>
      <c r="B25" s="699" t="s">
        <v>347</v>
      </c>
    </row>
    <row r="26" spans="1:6" x14ac:dyDescent="0.25">
      <c r="A26" s="60" t="s">
        <v>372</v>
      </c>
      <c r="B26" s="699" t="s">
        <v>348</v>
      </c>
    </row>
    <row r="27" spans="1:6" x14ac:dyDescent="0.25">
      <c r="A27" s="60" t="s">
        <v>373</v>
      </c>
      <c r="B27" s="699" t="s">
        <v>498</v>
      </c>
    </row>
    <row r="28" spans="1:6" x14ac:dyDescent="0.25">
      <c r="A28" s="60" t="s">
        <v>374</v>
      </c>
      <c r="B28" s="700" t="s">
        <v>459</v>
      </c>
    </row>
    <row r="29" spans="1:6" x14ac:dyDescent="0.25">
      <c r="A29" s="60" t="s">
        <v>375</v>
      </c>
      <c r="B29" s="699" t="s">
        <v>7</v>
      </c>
      <c r="F29" s="3"/>
    </row>
    <row r="30" spans="1:6" x14ac:dyDescent="0.25">
      <c r="A30" s="60" t="s">
        <v>376</v>
      </c>
      <c r="B30" s="699" t="s">
        <v>349</v>
      </c>
    </row>
    <row r="31" spans="1:6" x14ac:dyDescent="0.25">
      <c r="A31" s="60" t="s">
        <v>377</v>
      </c>
      <c r="B31" s="699" t="s">
        <v>350</v>
      </c>
    </row>
    <row r="32" spans="1:6" x14ac:dyDescent="0.25">
      <c r="A32" s="60" t="s">
        <v>378</v>
      </c>
      <c r="B32" s="699" t="s">
        <v>351</v>
      </c>
    </row>
    <row r="33" spans="1:3" s="14" customFormat="1" x14ac:dyDescent="0.25">
      <c r="A33" s="60" t="s">
        <v>379</v>
      </c>
      <c r="B33" s="699" t="s">
        <v>392</v>
      </c>
      <c r="C33" s="61"/>
    </row>
    <row r="34" spans="1:3" s="14" customFormat="1" x14ac:dyDescent="0.25">
      <c r="A34" s="60" t="s">
        <v>380</v>
      </c>
      <c r="B34" s="699" t="s">
        <v>384</v>
      </c>
      <c r="C34" s="61"/>
    </row>
    <row r="35" spans="1:3" x14ac:dyDescent="0.25">
      <c r="A35" s="59" t="s">
        <v>381</v>
      </c>
      <c r="B35" s="699" t="s">
        <v>352</v>
      </c>
    </row>
    <row r="36" spans="1:3" x14ac:dyDescent="0.25">
      <c r="A36" s="59" t="s">
        <v>382</v>
      </c>
      <c r="B36" s="699" t="s">
        <v>490</v>
      </c>
    </row>
    <row r="37" spans="1:3" x14ac:dyDescent="0.25">
      <c r="A37" s="59" t="s">
        <v>522</v>
      </c>
      <c r="B37" s="699" t="s">
        <v>339</v>
      </c>
    </row>
  </sheetData>
  <customSheetViews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2"/>
    </customSheetView>
  </customSheetViews>
  <phoneticPr fontId="19" type="noConversion"/>
  <conditionalFormatting sqref="A29">
    <cfRule type="cellIs" dxfId="11" priority="23" operator="equal">
      <formula>"ne"</formula>
    </cfRule>
    <cfRule type="cellIs" dxfId="10" priority="24" operator="equal">
      <formula>"da"</formula>
    </cfRule>
  </conditionalFormatting>
  <conditionalFormatting sqref="A30">
    <cfRule type="cellIs" dxfId="9" priority="21" operator="equal">
      <formula>"ne"</formula>
    </cfRule>
    <cfRule type="cellIs" dxfId="8" priority="22" operator="equal">
      <formula>"da"</formula>
    </cfRule>
  </conditionalFormatting>
  <conditionalFormatting sqref="A31">
    <cfRule type="cellIs" dxfId="7" priority="19" operator="equal">
      <formula>"ne"</formula>
    </cfRule>
    <cfRule type="cellIs" dxfId="6" priority="20" operator="equal">
      <formula>"da"</formula>
    </cfRule>
  </conditionalFormatting>
  <conditionalFormatting sqref="A32">
    <cfRule type="cellIs" dxfId="5" priority="17" operator="equal">
      <formula>"ne"</formula>
    </cfRule>
    <cfRule type="cellIs" dxfId="4" priority="18" operator="equal">
      <formula>"da"</formula>
    </cfRule>
  </conditionalFormatting>
  <conditionalFormatting sqref="A33">
    <cfRule type="cellIs" dxfId="3" priority="15" operator="equal">
      <formula>"ne"</formula>
    </cfRule>
    <cfRule type="cellIs" dxfId="2" priority="16" operator="equal">
      <formula>"da"</formula>
    </cfRule>
  </conditionalFormatting>
  <conditionalFormatting sqref="A34">
    <cfRule type="cellIs" dxfId="1" priority="13" operator="equal">
      <formula>"ne"</formula>
    </cfRule>
    <cfRule type="cellIs" dxfId="0" priority="14" operator="equal">
      <formula>"da"</formula>
    </cfRule>
  </conditionalFormatting>
  <hyperlinks>
    <hyperlink ref="B2" location="'Tab 1'!B2" display="Банке РС и организациони дијелови банака из ФБиХ у РС" xr:uid="{803501B6-212A-4AC9-A033-3FBD0E4C9CFA}"/>
    <hyperlink ref="B3" location="'Tab 2'!A1" display="Тржишно учешће банака у укупној активи, капиталу и депозитима" xr:uid="{0D02FFD8-A3C1-4028-859C-1BBDA56558E7}"/>
    <hyperlink ref="B4" location="'Tab 3'!A1" display="Актива по запосленом" xr:uid="{0ACC1DE8-64C6-46F6-A3F6-22C93C52E6F5}"/>
    <hyperlink ref="B5" location="'Tab 4'!A3" display="Секторска структура депозита" xr:uid="{D823F86E-1372-41AB-BF3D-C774865D5AA1}"/>
    <hyperlink ref="B6" location="'Tab 5'!A3" display="Структура депозита по валути" xr:uid="{2343E9C9-1E5D-4E58-858B-2D3295A2A201}"/>
    <hyperlink ref="B7" location="'Tab 6'!A3" display="Рочна структура депозита" xr:uid="{0FE0A836-D90A-41F2-A269-762663EAECEF}"/>
    <hyperlink ref="B8" location="'Tab 7'!A3" display="Кредити и штедња грађана" xr:uid="{90FE1922-CD2F-495C-9D3B-59D25B4134D0}"/>
    <hyperlink ref="B9" location="'Tab 8'!A3" display="Рочна и секторска структура депозита" xr:uid="{5545DE46-A58E-4A9A-96AD-29D4DB6DD3F8}"/>
    <hyperlink ref="B10" location="'Tab 9'!A3" display="Структура ванбилансне активе" xr:uid="{9C8FF6FC-6427-4318-93D2-5B5A8289E647}"/>
    <hyperlink ref="B11" location="'Tab 10'!A3" display="Структура новчаних средстава" xr:uid="{94E3EECD-4608-4379-B846-3082358E770D}"/>
    <hyperlink ref="B12" location="'Tab 11'!A3" display="Секторска структура укупних кредита" xr:uid="{CC372204-2DCA-4933-BF65-77BFD58DA70A}"/>
    <hyperlink ref="B13" location="'Tab 12'!A3" display="Рочна структура кредита" xr:uid="{F87DC769-BA33-4693-8D3B-65D63F32A776}"/>
    <hyperlink ref="B14" location="'Tab 13'!A3" display="Рочна и секторска структура кредита" xr:uid="{B0257FAA-D3AD-4E0E-9BD6-66BAB93C618C}"/>
    <hyperlink ref="B15" location="'Tab 14'!A3" display="Структура кредита грађанима банака РС и посл. јединица банака из ФБиХ" xr:uid="{A3B28E3F-FD4D-4DBF-AA4A-74A9A0754663}"/>
    <hyperlink ref="B16" location="'Tab 15'!A3" display="Намјенска структура кредита грађанима за општу потрошњу" xr:uid="{23A9306F-977C-4552-A57B-2C8A9E8AEF78}"/>
    <hyperlink ref="B17" location="'Tab 16'!A3" display="Прикупљени депозити и пласирани кредити" xr:uid="{736E7294-03E1-447D-A735-A8DD71074691}"/>
    <hyperlink ref="B18" location="'Tab 17'!A4" display="Задуженост становништва по кредитима (осим кредита за обављање дјелатности)" xr:uid="{BB7A5EBD-0487-4D95-9369-550FEB6ED54D}"/>
    <hyperlink ref="B19" location="'Tab 18'!A2" display="Биланс успјеха банкарског сектора РС" xr:uid="{20CDCA9F-795B-454F-997D-7F5FB888651A}"/>
    <hyperlink ref="B20" location="'Tab 19'!A2" display="ROAA и ROAE показатељи" xr:uid="{66D32201-3378-482E-8DC2-0253CAEE9E4A}"/>
    <hyperlink ref="B21" location="'Tab 20'!A4" display="Укупна финансијска имовина према начину вредновања и ЕCL" xr:uid="{81538077-D445-4273-8A05-8D380BC871D6}"/>
    <hyperlink ref="B22" location="'Tab 21'!A4" display="Укупна финансијска имовина према нивоима кредитног ризика" xr:uid="{E9923E0C-0BB5-4637-815C-73DB15AACA25}"/>
    <hyperlink ref="B23" location="'Tab 22'!A4" display="Преглед кредита правним и физичким лицима према нивоу кредитног ризика и припадајући ECL" xr:uid="{5A814D61-0CA7-44C6-9B5E-66F4317E9641}"/>
    <hyperlink ref="B24" location="'Tab 23'!A1" display="Просјечне пондерисане каматне стопе на кредите" xr:uid="{D9F80B82-F1E5-4117-ADB8-C94CD2CD8CFA}"/>
    <hyperlink ref="B25" location="'Tab 24'!A3" display="Просјечне пондерисане каматне стопе на депозите" xr:uid="{E533F84E-BA2F-41E8-933E-877A1994C59D}"/>
    <hyperlink ref="B26" location="'Tab 25'!B2" display="Просјечне пондерисане каматне стопе на прекорачења и депозите по виђењу" xr:uid="{573A706A-54CA-4AA1-A3C7-674ABD378260}"/>
    <hyperlink ref="B27" location="'Tab 26'!A2" display="Коефицијент покрића ликвидности - LCR" xr:uid="{713597E4-2C8B-48AE-B4B2-FA9AA760C64F}"/>
    <hyperlink ref="B28" location="'Tab 27'!A2" display="Показатељи ликвидности" xr:uid="{78201B7A-B84B-4A67-88FF-C00F713C008C}"/>
    <hyperlink ref="B29" location="'Tab 28'!A2" display="Структура капитала" xr:uid="{711B241A-3427-4B27-B12A-B1BDFED12099}"/>
    <hyperlink ref="B30" location="'Tab 29'!A3" display="Укупна изложеност банкарског сектора ризику " xr:uid="{3EF2902B-AD19-47EA-926D-FB472FCB159E}"/>
    <hyperlink ref="B31" location="'Tab 30'!B2" display="Показатељи адекватности капитала" xr:uid="{9C56A4C0-C505-4251-B620-7346DB86EE41}"/>
    <hyperlink ref="B32" location="'Tab 31'!A3" display="Стопа финансијске полуге" xr:uid="{03A31CEB-331D-430B-A0B1-651B9AA7EF14}"/>
    <hyperlink ref="B33" location="'Tab 32'!A2" display="Унутрашњи платни промет" xr:uid="{149C10B0-4E6A-4B63-8DDC-3E9041F97EC5}"/>
    <hyperlink ref="B34" location="'Tab 33'!A1" display="Девизни платни промет (противриједност у КМ)" xr:uid="{B4296E11-5165-4EA8-AB1C-D872D76E60E5}"/>
    <hyperlink ref="B35" location="'Pr 1'!B2" display="Основни подаци о банкама" xr:uid="{EF0B9AC1-748A-456E-9056-F2FDAC268CEB}"/>
    <hyperlink ref="B36" location="'Pr 2'!A3" display="Биланс стања" xr:uid="{242A1391-94EE-48EF-9803-D232CE8248FB}"/>
    <hyperlink ref="B37" location="'Pr 3'!A2" display="Секторска структура укупних кредита" xr:uid="{ABA9B0D1-44A7-4914-96D2-3565869308B8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5"/>
  <dimension ref="A1:F21"/>
  <sheetViews>
    <sheetView zoomScaleNormal="100" workbookViewId="0">
      <selection activeCell="A2" sqref="A2"/>
    </sheetView>
  </sheetViews>
  <sheetFormatPr defaultColWidth="8.7109375" defaultRowHeight="12" x14ac:dyDescent="0.2"/>
  <cols>
    <col min="1" max="1" width="50.140625" style="4" customWidth="1"/>
    <col min="2" max="2" width="7.5703125" style="4" customWidth="1"/>
    <col min="3" max="3" width="6.5703125" style="4" customWidth="1"/>
    <col min="4" max="4" width="7.5703125" style="4" customWidth="1"/>
    <col min="5" max="5" width="6.5703125" style="4" customWidth="1"/>
    <col min="6" max="6" width="10.42578125" style="4" customWidth="1"/>
    <col min="7" max="16384" width="8.7109375" style="4"/>
  </cols>
  <sheetData>
    <row r="1" spans="1:6" x14ac:dyDescent="0.2">
      <c r="A1" s="228"/>
      <c r="B1" s="218"/>
      <c r="C1" s="218"/>
      <c r="D1" s="218"/>
      <c r="E1" s="218"/>
      <c r="F1" s="218"/>
    </row>
    <row r="2" spans="1:6" x14ac:dyDescent="0.2">
      <c r="A2" s="65" t="s">
        <v>341</v>
      </c>
      <c r="B2" s="65"/>
      <c r="C2" s="65"/>
      <c r="D2" s="65"/>
      <c r="E2" s="65"/>
      <c r="F2" s="438" t="s">
        <v>400</v>
      </c>
    </row>
    <row r="3" spans="1:6" x14ac:dyDescent="0.2">
      <c r="A3" s="818" t="s">
        <v>12</v>
      </c>
      <c r="B3" s="820" t="s">
        <v>549</v>
      </c>
      <c r="C3" s="821"/>
      <c r="D3" s="820" t="s">
        <v>533</v>
      </c>
      <c r="E3" s="821"/>
      <c r="F3" s="822" t="s">
        <v>11</v>
      </c>
    </row>
    <row r="4" spans="1:6" x14ac:dyDescent="0.2">
      <c r="A4" s="819"/>
      <c r="B4" s="301" t="s">
        <v>2</v>
      </c>
      <c r="C4" s="302" t="s">
        <v>3</v>
      </c>
      <c r="D4" s="301" t="s">
        <v>2</v>
      </c>
      <c r="E4" s="302" t="s">
        <v>3</v>
      </c>
      <c r="F4" s="823"/>
    </row>
    <row r="5" spans="1:6" ht="14.1" customHeight="1" x14ac:dyDescent="0.2">
      <c r="A5" s="280" t="s">
        <v>520</v>
      </c>
      <c r="B5" s="281"/>
      <c r="C5" s="282"/>
      <c r="D5" s="281"/>
      <c r="E5" s="282"/>
      <c r="F5" s="283"/>
    </row>
    <row r="6" spans="1:6" ht="14.1" customHeight="1" x14ac:dyDescent="0.2">
      <c r="A6" s="284" t="s">
        <v>144</v>
      </c>
      <c r="B6" s="285">
        <v>145.197</v>
      </c>
      <c r="C6" s="286">
        <f>IF(B$8&lt;&gt;0,B6*100/B$8,0)</f>
        <v>65.930308589280202</v>
      </c>
      <c r="D6" s="285">
        <v>148.79400000000001</v>
      </c>
      <c r="E6" s="286">
        <f>IF(D$8&lt;&gt;0,D6*100/D$8,0)</f>
        <v>61.755880119034281</v>
      </c>
      <c r="F6" s="287">
        <f>IF(B6&lt;&gt;0,D6/B6*100,"-")</f>
        <v>102.47732391165107</v>
      </c>
    </row>
    <row r="7" spans="1:6" ht="14.1" customHeight="1" x14ac:dyDescent="0.2">
      <c r="A7" s="284" t="s">
        <v>145</v>
      </c>
      <c r="B7" s="285">
        <v>75.031000000000006</v>
      </c>
      <c r="C7" s="286">
        <f>IF(B$8&lt;&gt;0,B7*100/B$8,0)</f>
        <v>34.069691410719798</v>
      </c>
      <c r="D7" s="285">
        <v>92.144999999999996</v>
      </c>
      <c r="E7" s="286">
        <f>IF(D$8&lt;&gt;0,D7*100/D$8,0)</f>
        <v>38.244119880965719</v>
      </c>
      <c r="F7" s="287">
        <f>IF(B7&lt;&gt;0,D7/B7*100,"-")</f>
        <v>122.80923884794284</v>
      </c>
    </row>
    <row r="8" spans="1:6" ht="14.1" customHeight="1" x14ac:dyDescent="0.2">
      <c r="A8" s="280" t="s">
        <v>146</v>
      </c>
      <c r="B8" s="288">
        <f>SUM(B6:B7)</f>
        <v>220.22800000000001</v>
      </c>
      <c r="C8" s="289">
        <f>SUM(C6:C7)</f>
        <v>100</v>
      </c>
      <c r="D8" s="288">
        <f>SUM(D6:D7)</f>
        <v>240.93900000000002</v>
      </c>
      <c r="E8" s="289">
        <f>SUM(E6:E7)</f>
        <v>100</v>
      </c>
      <c r="F8" s="287">
        <f>IF(B8&lt;&gt;0,D8/B8*100,"-")</f>
        <v>109.40434458833572</v>
      </c>
    </row>
    <row r="9" spans="1:6" ht="14.1" customHeight="1" x14ac:dyDescent="0.2">
      <c r="A9" s="280" t="s">
        <v>147</v>
      </c>
      <c r="B9" s="288"/>
      <c r="C9" s="282"/>
      <c r="D9" s="288"/>
      <c r="E9" s="282"/>
      <c r="F9" s="287"/>
    </row>
    <row r="10" spans="1:6" ht="14.1" customHeight="1" x14ac:dyDescent="0.2">
      <c r="A10" s="284" t="s">
        <v>148</v>
      </c>
      <c r="B10" s="285">
        <v>29.62</v>
      </c>
      <c r="C10" s="286">
        <f>IF(B$13&lt;&gt;0,B10*100/B$13,0)</f>
        <v>16.53621554024631</v>
      </c>
      <c r="D10" s="285">
        <v>29.547999999999998</v>
      </c>
      <c r="E10" s="286">
        <f>IF(D$13&lt;&gt;0,D10*100/D$13,0)</f>
        <v>17.287114231388031</v>
      </c>
      <c r="F10" s="287">
        <f t="shared" ref="F10:F21" si="0">IF(B10&lt;&gt;0,D10/B10*100,"-")</f>
        <v>99.756920999324777</v>
      </c>
    </row>
    <row r="11" spans="1:6" ht="14.1" customHeight="1" x14ac:dyDescent="0.2">
      <c r="A11" s="284" t="s">
        <v>149</v>
      </c>
      <c r="B11" s="285">
        <v>33.436</v>
      </c>
      <c r="C11" s="286">
        <f t="shared" ref="C11:C12" si="1">IF(B$13&lt;&gt;0,B11*100/B$13,0)</f>
        <v>18.666607116937058</v>
      </c>
      <c r="D11" s="285">
        <v>25.492000000000001</v>
      </c>
      <c r="E11" s="286">
        <f>IF(D$13&lt;&gt;0,D11*100/D$13,0)</f>
        <v>14.914143630247185</v>
      </c>
      <c r="F11" s="287">
        <f t="shared" si="0"/>
        <v>76.241177174303161</v>
      </c>
    </row>
    <row r="12" spans="1:6" ht="14.1" customHeight="1" x14ac:dyDescent="0.2">
      <c r="A12" s="284" t="s">
        <v>150</v>
      </c>
      <c r="B12" s="285">
        <v>116.066</v>
      </c>
      <c r="C12" s="286">
        <f t="shared" si="1"/>
        <v>64.797177342816624</v>
      </c>
      <c r="D12" s="285">
        <v>115.88500000000001</v>
      </c>
      <c r="E12" s="286">
        <f>IF(D$13&lt;&gt;0,D12*100/D$13,0)</f>
        <v>67.798742138364773</v>
      </c>
      <c r="F12" s="287">
        <f t="shared" si="0"/>
        <v>99.844054244998532</v>
      </c>
    </row>
    <row r="13" spans="1:6" ht="14.1" customHeight="1" x14ac:dyDescent="0.2">
      <c r="A13" s="280" t="s">
        <v>151</v>
      </c>
      <c r="B13" s="288">
        <f>SUM(B10:B12)</f>
        <v>179.12200000000001</v>
      </c>
      <c r="C13" s="289">
        <f>SUM(C10:C12)</f>
        <v>100</v>
      </c>
      <c r="D13" s="288">
        <f>SUM(D10:D12)</f>
        <v>170.92500000000001</v>
      </c>
      <c r="E13" s="289">
        <f>SUM(E10:E12)</f>
        <v>99.999999999999986</v>
      </c>
      <c r="F13" s="287">
        <f t="shared" si="0"/>
        <v>95.423789372606379</v>
      </c>
    </row>
    <row r="14" spans="1:6" ht="14.1" customHeight="1" x14ac:dyDescent="0.2">
      <c r="A14" s="280" t="s">
        <v>152</v>
      </c>
      <c r="B14" s="288">
        <f>B8-B13</f>
        <v>41.105999999999995</v>
      </c>
      <c r="C14" s="282"/>
      <c r="D14" s="288">
        <f>D8-D13</f>
        <v>70.01400000000001</v>
      </c>
      <c r="E14" s="282"/>
      <c r="F14" s="287">
        <f t="shared" si="0"/>
        <v>170.325499927018</v>
      </c>
    </row>
    <row r="15" spans="1:6" ht="14.1" customHeight="1" x14ac:dyDescent="0.2">
      <c r="A15" s="280" t="s">
        <v>153</v>
      </c>
      <c r="B15" s="288">
        <v>41.981999999999999</v>
      </c>
      <c r="C15" s="282"/>
      <c r="D15" s="288">
        <v>70.013999999999996</v>
      </c>
      <c r="E15" s="282"/>
      <c r="F15" s="287">
        <f t="shared" si="0"/>
        <v>166.77147348863798</v>
      </c>
    </row>
    <row r="16" spans="1:6" ht="14.1" customHeight="1" x14ac:dyDescent="0.2">
      <c r="A16" s="280" t="s">
        <v>154</v>
      </c>
      <c r="B16" s="288">
        <v>0.876</v>
      </c>
      <c r="C16" s="282"/>
      <c r="D16" s="288">
        <v>0</v>
      </c>
      <c r="E16" s="282"/>
      <c r="F16" s="287">
        <f t="shared" si="0"/>
        <v>0</v>
      </c>
    </row>
    <row r="17" spans="1:6" ht="14.1" customHeight="1" x14ac:dyDescent="0.2">
      <c r="A17" s="280" t="s">
        <v>155</v>
      </c>
      <c r="B17" s="290">
        <v>4.008</v>
      </c>
      <c r="C17" s="291"/>
      <c r="D17" s="290">
        <v>5.125</v>
      </c>
      <c r="E17" s="291"/>
      <c r="F17" s="287">
        <f t="shared" si="0"/>
        <v>127.86926147704591</v>
      </c>
    </row>
    <row r="18" spans="1:6" ht="14.1" customHeight="1" x14ac:dyDescent="0.2">
      <c r="A18" s="280" t="s">
        <v>156</v>
      </c>
      <c r="B18" s="285">
        <v>0.14799999999999999</v>
      </c>
      <c r="C18" s="292"/>
      <c r="D18" s="285">
        <v>0.155</v>
      </c>
      <c r="E18" s="291"/>
      <c r="F18" s="287">
        <f t="shared" si="0"/>
        <v>104.72972972972974</v>
      </c>
    </row>
    <row r="19" spans="1:6" ht="14.1" customHeight="1" x14ac:dyDescent="0.2">
      <c r="A19" s="280" t="s">
        <v>157</v>
      </c>
      <c r="B19" s="285">
        <v>0.106</v>
      </c>
      <c r="C19" s="292"/>
      <c r="D19" s="285">
        <v>0.628</v>
      </c>
      <c r="E19" s="291"/>
      <c r="F19" s="287">
        <f t="shared" si="0"/>
        <v>592.45283018867929</v>
      </c>
    </row>
    <row r="20" spans="1:6" ht="14.1" customHeight="1" x14ac:dyDescent="0.2">
      <c r="A20" s="293" t="s">
        <v>158</v>
      </c>
      <c r="B20" s="294">
        <v>38.049999999999997</v>
      </c>
      <c r="C20" s="295"/>
      <c r="D20" s="294">
        <v>64.415999999999997</v>
      </c>
      <c r="E20" s="295"/>
      <c r="F20" s="296">
        <f t="shared" si="0"/>
        <v>169.29303547963207</v>
      </c>
    </row>
    <row r="21" spans="1:6" ht="14.1" customHeight="1" thickBot="1" x14ac:dyDescent="0.25">
      <c r="A21" s="297" t="s">
        <v>159</v>
      </c>
      <c r="B21" s="298">
        <v>0.91</v>
      </c>
      <c r="C21" s="299"/>
      <c r="D21" s="298">
        <v>0</v>
      </c>
      <c r="E21" s="299"/>
      <c r="F21" s="300">
        <f t="shared" si="0"/>
        <v>0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1:W39"/>
  <sheetViews>
    <sheetView zoomScaleNormal="100" workbookViewId="0">
      <selection activeCell="A2" sqref="A2"/>
    </sheetView>
  </sheetViews>
  <sheetFormatPr defaultRowHeight="15" x14ac:dyDescent="0.25"/>
  <cols>
    <col min="1" max="1" width="37.42578125" customWidth="1"/>
    <col min="2" max="6" width="9.140625" customWidth="1"/>
    <col min="8" max="8" width="16.5703125" hidden="1" customWidth="1"/>
    <col min="9" max="9" width="33.7109375" hidden="1" customWidth="1"/>
    <col min="10" max="17" width="0" hidden="1" customWidth="1"/>
    <col min="23" max="23" width="11.28515625" customWidth="1"/>
  </cols>
  <sheetData>
    <row r="1" spans="1:19" s="14" customFormat="1" x14ac:dyDescent="0.25"/>
    <row r="2" spans="1:19" x14ac:dyDescent="0.25">
      <c r="A2" s="153" t="s">
        <v>342</v>
      </c>
      <c r="B2" s="153"/>
      <c r="C2" s="153"/>
      <c r="D2" s="153"/>
      <c r="E2" s="153"/>
      <c r="F2" s="80" t="s">
        <v>400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14.1" customHeight="1" x14ac:dyDescent="0.25">
      <c r="A3" s="120" t="s">
        <v>12</v>
      </c>
      <c r="B3" s="463" t="s">
        <v>550</v>
      </c>
      <c r="C3" s="464" t="s">
        <v>551</v>
      </c>
      <c r="D3" s="464" t="s">
        <v>552</v>
      </c>
      <c r="E3" s="464" t="s">
        <v>549</v>
      </c>
      <c r="F3" s="464" t="s">
        <v>533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9" ht="14.1" customHeight="1" x14ac:dyDescent="0.25">
      <c r="A4" s="465" t="s">
        <v>143</v>
      </c>
      <c r="B4" s="466">
        <v>63.545000000000009</v>
      </c>
      <c r="C4" s="467">
        <v>50.948999999999998</v>
      </c>
      <c r="D4" s="467">
        <v>50.938000000000002</v>
      </c>
      <c r="E4" s="467">
        <v>37.14</v>
      </c>
      <c r="F4" s="467">
        <v>64.415999999999997</v>
      </c>
      <c r="G4" s="14"/>
      <c r="H4" s="14" t="s">
        <v>176</v>
      </c>
      <c r="I4" s="14" t="s">
        <v>172</v>
      </c>
      <c r="J4" s="14"/>
      <c r="K4" s="14"/>
      <c r="L4" s="14"/>
      <c r="M4" s="14"/>
      <c r="N4" s="14"/>
      <c r="O4" s="14"/>
      <c r="P4" s="14"/>
      <c r="Q4" s="14"/>
      <c r="R4" s="14"/>
    </row>
    <row r="5" spans="1:19" ht="14.1" customHeight="1" x14ac:dyDescent="0.25">
      <c r="A5" s="85" t="s">
        <v>141</v>
      </c>
      <c r="B5" s="184">
        <v>6530.9779999999992</v>
      </c>
      <c r="C5" s="117">
        <v>7084.3320000000003</v>
      </c>
      <c r="D5" s="117">
        <v>7745.188000000001</v>
      </c>
      <c r="E5" s="117">
        <v>8112.3859999999995</v>
      </c>
      <c r="F5" s="117">
        <v>8600.1940000000013</v>
      </c>
      <c r="G5" s="14"/>
      <c r="H5" s="14"/>
      <c r="I5" s="14" t="s">
        <v>173</v>
      </c>
      <c r="J5" s="14"/>
      <c r="K5" s="14"/>
      <c r="L5" s="14"/>
      <c r="M5" s="14"/>
      <c r="N5" s="14"/>
      <c r="O5" s="14"/>
      <c r="P5" s="14"/>
      <c r="Q5" s="14"/>
      <c r="R5" s="27"/>
    </row>
    <row r="6" spans="1:19" ht="14.1" customHeight="1" x14ac:dyDescent="0.25">
      <c r="A6" s="85" t="s">
        <v>142</v>
      </c>
      <c r="B6" s="184">
        <v>891.78899999999999</v>
      </c>
      <c r="C6" s="117">
        <v>948.30899999999986</v>
      </c>
      <c r="D6" s="117">
        <v>970.09500000000003</v>
      </c>
      <c r="E6" s="117">
        <v>1012.0890000000001</v>
      </c>
      <c r="F6" s="117">
        <v>1064.144</v>
      </c>
      <c r="G6" s="14"/>
      <c r="H6" s="14"/>
      <c r="I6" s="14" t="s">
        <v>174</v>
      </c>
      <c r="J6" s="14"/>
      <c r="K6" s="14"/>
      <c r="L6" s="14"/>
      <c r="M6" s="14"/>
      <c r="N6" s="14"/>
      <c r="O6" s="14"/>
      <c r="P6" s="14"/>
      <c r="Q6" s="14"/>
      <c r="R6" s="14" t="str">
        <f>LEFT(G6)</f>
        <v/>
      </c>
      <c r="S6" s="15"/>
    </row>
    <row r="7" spans="1:19" s="13" customFormat="1" ht="14.1" customHeight="1" x14ac:dyDescent="0.25">
      <c r="A7" s="123" t="s">
        <v>226</v>
      </c>
      <c r="B7" s="468">
        <f>IFERROR(12*B4/LEFT(B3,2)/B$5,0)</f>
        <v>1.9459566392659725E-2</v>
      </c>
      <c r="C7" s="469">
        <f>IFERROR(12*C4/LEFT(C3,2)/C$5,0)</f>
        <v>1.4383572085554429E-2</v>
      </c>
      <c r="D7" s="469">
        <f>IFERROR(12*D4/LEFT(D3,2)/D$5,0)</f>
        <v>1.3153457346677706E-2</v>
      </c>
      <c r="E7" s="469">
        <f>IFERROR(12*E4/LEFT(E3,2)/E$5,0)</f>
        <v>9.1563690386527469E-3</v>
      </c>
      <c r="F7" s="469">
        <f>IFERROR(12*F4/LEFT(F3,2)/F$5,0)</f>
        <v>1.4980127192479608E-2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s="13" customFormat="1" ht="14.1" customHeight="1" x14ac:dyDescent="0.25">
      <c r="A8" s="123" t="s">
        <v>227</v>
      </c>
      <c r="B8" s="468">
        <f>IFERROR(12*B4/LEFT(B3,2)/B$6,0)</f>
        <v>0.14251128910538258</v>
      </c>
      <c r="C8" s="469">
        <f>IFERROR(12*C4/LEFT(C3,2)/C$6,0)</f>
        <v>0.10745231775718674</v>
      </c>
      <c r="D8" s="469">
        <f>IFERROR(12*D4/LEFT(D3,2)/D$6,0)</f>
        <v>0.10501651900071644</v>
      </c>
      <c r="E8" s="469">
        <f>IFERROR(12*E4/LEFT(E3,2)/E$6,0)</f>
        <v>7.33927549849865E-2</v>
      </c>
      <c r="F8" s="469">
        <f>IFERROR(12*F4/LEFT(F3,2)/F$6,0)</f>
        <v>0.12106632185117804</v>
      </c>
      <c r="G8" s="14"/>
      <c r="H8" s="14" t="s">
        <v>177</v>
      </c>
      <c r="I8" s="14" t="s">
        <v>172</v>
      </c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s="13" customFormat="1" ht="14.1" customHeight="1" x14ac:dyDescent="0.25">
      <c r="A9" s="85" t="s">
        <v>224</v>
      </c>
      <c r="B9" s="184">
        <v>111.279</v>
      </c>
      <c r="C9" s="117">
        <v>113.19199999999999</v>
      </c>
      <c r="D9" s="117">
        <v>115.45099999999999</v>
      </c>
      <c r="E9" s="117">
        <v>115.577</v>
      </c>
      <c r="F9" s="117">
        <v>119.246</v>
      </c>
      <c r="G9" s="14"/>
      <c r="H9" s="14"/>
      <c r="I9" s="14" t="s">
        <v>175</v>
      </c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s="13" customFormat="1" ht="14.1" customHeight="1" x14ac:dyDescent="0.25">
      <c r="A10" s="85" t="s">
        <v>521</v>
      </c>
      <c r="B10" s="184">
        <v>93.772000000000006</v>
      </c>
      <c r="C10" s="117">
        <v>75.960999999999999</v>
      </c>
      <c r="D10" s="117">
        <v>76.177999999999997</v>
      </c>
      <c r="E10" s="117">
        <v>75.031000000000006</v>
      </c>
      <c r="F10" s="117">
        <v>92.144999999999996</v>
      </c>
      <c r="G10" s="14"/>
      <c r="H10" s="14"/>
      <c r="I10" s="14" t="s">
        <v>174</v>
      </c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s="13" customFormat="1" ht="14.1" customHeight="1" x14ac:dyDescent="0.25">
      <c r="A11" s="85" t="s">
        <v>225</v>
      </c>
      <c r="B11" s="184">
        <v>12.266</v>
      </c>
      <c r="C11" s="117">
        <v>14.263</v>
      </c>
      <c r="D11" s="117">
        <v>16.559999999999999</v>
      </c>
      <c r="E11" s="117">
        <v>16.425000000000001</v>
      </c>
      <c r="F11" s="117">
        <v>20.251000000000001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s="15" customFormat="1" ht="14.1" customHeight="1" x14ac:dyDescent="0.25">
      <c r="A12" s="85" t="s">
        <v>168</v>
      </c>
      <c r="B12" s="184">
        <v>104.818</v>
      </c>
      <c r="C12" s="117">
        <v>106.83199999999999</v>
      </c>
      <c r="D12" s="117">
        <v>108.252</v>
      </c>
      <c r="E12" s="117">
        <v>116.066</v>
      </c>
      <c r="F12" s="117">
        <v>115.88500000000001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9" s="13" customFormat="1" ht="27" customHeight="1" x14ac:dyDescent="0.25">
      <c r="A13" s="85" t="s">
        <v>169</v>
      </c>
      <c r="B13" s="184">
        <f>B9+B10-B11</f>
        <v>192.785</v>
      </c>
      <c r="C13" s="117">
        <f>C9+C10-C11</f>
        <v>174.89</v>
      </c>
      <c r="D13" s="117">
        <f t="shared" ref="D13:E13" si="0">D9+D10-D11</f>
        <v>175.06899999999999</v>
      </c>
      <c r="E13" s="117">
        <f t="shared" si="0"/>
        <v>174.18299999999999</v>
      </c>
      <c r="F13" s="117">
        <f>F9+F10-F11</f>
        <v>191.14</v>
      </c>
      <c r="G13" s="14"/>
      <c r="H13" s="14" t="s">
        <v>178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s="13" customFormat="1" ht="14.1" customHeight="1" x14ac:dyDescent="0.25">
      <c r="A14" s="123" t="s">
        <v>170</v>
      </c>
      <c r="B14" s="468">
        <f>IFERROR(12*B9/LEFT(B3,2)/B$5,0)</f>
        <v>3.4077285209045266E-2</v>
      </c>
      <c r="C14" s="469">
        <f>IFERROR(12*C9/LEFT(C3,2)/C$5,0)</f>
        <v>3.1955588755580619E-2</v>
      </c>
      <c r="D14" s="469">
        <f>IFERROR(12*D9/LEFT(D3,2)/D$5,0)</f>
        <v>2.9812317015416531E-2</v>
      </c>
      <c r="E14" s="469">
        <f>IFERROR(12*E9/LEFT(E3,2)/E$5,0)</f>
        <v>2.8493959730219939E-2</v>
      </c>
      <c r="F14" s="469">
        <f>IFERROR(12*F9/LEFT(F3,2)/F$5,0)</f>
        <v>2.773100234715635E-2</v>
      </c>
      <c r="G14" s="14"/>
      <c r="H14" s="14"/>
      <c r="I14" s="14" t="s">
        <v>172</v>
      </c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ht="14.1" customHeight="1" x14ac:dyDescent="0.25">
      <c r="A15" s="123" t="s">
        <v>171</v>
      </c>
      <c r="B15" s="468">
        <f>IFERROR(12*B10/LEFT(B3,2)/B$5,0)</f>
        <v>2.8716066720788223E-2</v>
      </c>
      <c r="C15" s="469">
        <f>IFERROR(12*C10/LEFT(C3,2)/C$5,0)</f>
        <v>2.1444788301846946E-2</v>
      </c>
      <c r="D15" s="469">
        <f>IFERROR(12*D10/LEFT(D3,2)/D$5,0)</f>
        <v>1.9671052529648084E-2</v>
      </c>
      <c r="E15" s="469">
        <f>IFERROR(12*E10/LEFT(E3,2)/E$5,0)</f>
        <v>1.849788705813555E-2</v>
      </c>
      <c r="F15" s="469">
        <f>IFERROR(12*F10/LEFT(F3,2)/F$5,0)</f>
        <v>2.1428586378400297E-2</v>
      </c>
      <c r="G15" s="14"/>
      <c r="H15" s="14"/>
      <c r="I15" s="14" t="s">
        <v>179</v>
      </c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40.5" customHeight="1" thickBot="1" x14ac:dyDescent="0.3">
      <c r="A16" s="470" t="s">
        <v>183</v>
      </c>
      <c r="B16" s="471">
        <f>IF(B13&lt;&gt;0,B12/B13,0)</f>
        <v>0.5437041263583785</v>
      </c>
      <c r="C16" s="472">
        <f t="shared" ref="C16:E16" si="1">IF(C13&lt;&gt;0,C12/C13,0)</f>
        <v>0.61085253587969579</v>
      </c>
      <c r="D16" s="472">
        <f t="shared" si="1"/>
        <v>0.61833905488693031</v>
      </c>
      <c r="E16" s="472">
        <f t="shared" si="1"/>
        <v>0.66634516571651659</v>
      </c>
      <c r="F16" s="472">
        <f>IF(F13&lt;&gt;0,F12/F13,0)</f>
        <v>0.60628335251648013</v>
      </c>
      <c r="G16" s="14"/>
      <c r="H16" s="14"/>
      <c r="I16" s="14" t="s">
        <v>174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23" x14ac:dyDescent="0.25">
      <c r="A17" s="5"/>
      <c r="B17" s="5"/>
      <c r="C17" s="5"/>
      <c r="D17" s="5"/>
      <c r="E17" s="5"/>
      <c r="F17" s="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3" x14ac:dyDescent="0.25">
      <c r="A18" s="154" t="s">
        <v>165</v>
      </c>
      <c r="B18" s="154"/>
      <c r="C18" s="5"/>
      <c r="D18" s="5"/>
      <c r="E18" s="5"/>
      <c r="F18" s="5"/>
      <c r="G18" s="5"/>
      <c r="H18" s="14" t="s">
        <v>180</v>
      </c>
    </row>
    <row r="19" spans="1:23" x14ac:dyDescent="0.25">
      <c r="A19" s="154"/>
      <c r="B19" s="154"/>
      <c r="C19" s="154"/>
      <c r="D19" s="154"/>
      <c r="E19" s="154"/>
      <c r="F19" s="154"/>
      <c r="G19" s="154"/>
      <c r="H19" s="154"/>
      <c r="I19" s="154" t="s">
        <v>172</v>
      </c>
      <c r="J19" s="154"/>
      <c r="K19" s="154"/>
      <c r="L19" s="154"/>
      <c r="M19" s="154"/>
      <c r="N19" s="154"/>
      <c r="O19" s="154"/>
      <c r="P19" s="154"/>
      <c r="Q19" s="154"/>
      <c r="R19" s="154"/>
      <c r="W19" s="14"/>
    </row>
    <row r="20" spans="1:23" hidden="1" x14ac:dyDescent="0.25">
      <c r="A20" s="154"/>
      <c r="B20" s="154"/>
      <c r="C20" s="154"/>
      <c r="D20" s="154"/>
      <c r="E20" s="154"/>
      <c r="F20" s="154"/>
      <c r="G20" s="154"/>
      <c r="H20" s="154"/>
      <c r="I20" s="154" t="s">
        <v>181</v>
      </c>
      <c r="J20" s="154"/>
      <c r="K20" s="154"/>
      <c r="L20" s="154"/>
      <c r="M20" s="154"/>
      <c r="N20" s="154"/>
      <c r="O20" s="154"/>
      <c r="P20" s="154"/>
      <c r="Q20" s="154"/>
      <c r="R20" s="154"/>
      <c r="W20" s="14"/>
    </row>
    <row r="21" spans="1:23" s="14" customFormat="1" ht="14.1" hidden="1" customHeight="1" x14ac:dyDescent="0.25">
      <c r="A21" s="154" t="s">
        <v>12</v>
      </c>
      <c r="B21" s="154" t="s">
        <v>162</v>
      </c>
      <c r="C21" s="154" t="s">
        <v>163</v>
      </c>
      <c r="D21" s="154" t="s">
        <v>164</v>
      </c>
      <c r="E21" s="154" t="s">
        <v>160</v>
      </c>
      <c r="F21" s="154" t="s">
        <v>134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1:23" s="14" customFormat="1" ht="14.1" hidden="1" customHeight="1" x14ac:dyDescent="0.25">
      <c r="A22" s="154" t="s">
        <v>143</v>
      </c>
      <c r="B22" s="154">
        <v>36308</v>
      </c>
      <c r="C22" s="154">
        <v>31556</v>
      </c>
      <c r="D22" s="154">
        <v>63545</v>
      </c>
      <c r="E22" s="154">
        <v>50949</v>
      </c>
      <c r="F22" s="154">
        <v>50938</v>
      </c>
      <c r="G22" s="154"/>
      <c r="H22" s="154" t="s">
        <v>176</v>
      </c>
      <c r="I22" s="154" t="s">
        <v>172</v>
      </c>
      <c r="J22" s="154"/>
      <c r="K22" s="154"/>
      <c r="L22" s="154"/>
      <c r="M22" s="154"/>
      <c r="N22" s="154"/>
      <c r="O22" s="154"/>
      <c r="P22" s="154"/>
      <c r="Q22" s="154"/>
      <c r="R22" s="154"/>
    </row>
    <row r="23" spans="1:23" s="14" customFormat="1" ht="14.1" hidden="1" customHeight="1" x14ac:dyDescent="0.25">
      <c r="A23" s="154" t="s">
        <v>141</v>
      </c>
      <c r="B23" s="154">
        <v>6371203</v>
      </c>
      <c r="C23" s="154">
        <v>6275564</v>
      </c>
      <c r="D23" s="154">
        <v>6453791</v>
      </c>
      <c r="E23" s="154">
        <v>6994007</v>
      </c>
      <c r="F23" s="154">
        <v>7641234</v>
      </c>
      <c r="G23" s="154"/>
      <c r="H23" s="154"/>
      <c r="I23" s="154" t="s">
        <v>173</v>
      </c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23" s="14" customFormat="1" ht="14.1" hidden="1" customHeight="1" x14ac:dyDescent="0.25">
      <c r="A24" s="154" t="s">
        <v>142</v>
      </c>
      <c r="B24" s="154">
        <v>815586</v>
      </c>
      <c r="C24" s="154">
        <v>861932</v>
      </c>
      <c r="D24" s="154">
        <v>891789</v>
      </c>
      <c r="E24" s="154">
        <v>948309</v>
      </c>
      <c r="F24" s="154">
        <v>970095</v>
      </c>
      <c r="G24" s="154"/>
      <c r="H24" s="154"/>
      <c r="I24" s="154" t="s">
        <v>174</v>
      </c>
      <c r="J24" s="154"/>
      <c r="K24" s="154"/>
      <c r="L24" s="154"/>
      <c r="M24" s="154"/>
      <c r="N24" s="154"/>
      <c r="O24" s="154"/>
      <c r="P24" s="154"/>
      <c r="Q24" s="154"/>
      <c r="R24" s="154"/>
    </row>
    <row r="25" spans="1:23" s="15" customFormat="1" ht="14.1" hidden="1" customHeight="1" x14ac:dyDescent="0.25">
      <c r="A25" s="154" t="s">
        <v>131</v>
      </c>
      <c r="B25" s="154">
        <v>1.1397533558419029E-2</v>
      </c>
      <c r="C25" s="154">
        <v>1.0056785334354012E-2</v>
      </c>
      <c r="D25" s="154">
        <v>1.9692301780457409E-2</v>
      </c>
      <c r="E25" s="154">
        <v>1.4569330571158993E-2</v>
      </c>
      <c r="F25" s="154">
        <v>1.3332401546661181E-2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W25" s="14"/>
    </row>
    <row r="26" spans="1:23" s="15" customFormat="1" ht="14.1" hidden="1" customHeight="1" x14ac:dyDescent="0.25">
      <c r="A26" s="154" t="s">
        <v>132</v>
      </c>
      <c r="B26" s="154">
        <v>8.9035368434475334E-2</v>
      </c>
      <c r="C26" s="154">
        <v>7.3221553440410606E-2</v>
      </c>
      <c r="D26" s="154">
        <v>0.14251128910538255</v>
      </c>
      <c r="E26" s="154">
        <v>0.10745231775718674</v>
      </c>
      <c r="F26" s="154">
        <v>0.10501651900071643</v>
      </c>
      <c r="G26" s="154"/>
      <c r="H26" s="154" t="s">
        <v>177</v>
      </c>
      <c r="I26" s="154" t="s">
        <v>172</v>
      </c>
      <c r="J26" s="154"/>
      <c r="K26" s="154"/>
      <c r="L26" s="154"/>
      <c r="M26" s="154"/>
      <c r="N26" s="154"/>
      <c r="O26" s="154"/>
      <c r="P26" s="154"/>
      <c r="Q26" s="154"/>
      <c r="R26" s="154"/>
      <c r="W26" s="14"/>
    </row>
    <row r="27" spans="1:23" s="15" customFormat="1" ht="14.1" hidden="1" customHeight="1" x14ac:dyDescent="0.25">
      <c r="A27" s="154" t="s">
        <v>166</v>
      </c>
      <c r="B27" s="154">
        <v>104092</v>
      </c>
      <c r="C27" s="154">
        <v>106461</v>
      </c>
      <c r="D27" s="154">
        <v>111279</v>
      </c>
      <c r="E27" s="154">
        <v>113192</v>
      </c>
      <c r="F27" s="154">
        <v>115451</v>
      </c>
      <c r="G27" s="154"/>
      <c r="H27" s="154"/>
      <c r="I27" s="154" t="s">
        <v>175</v>
      </c>
      <c r="J27" s="154"/>
      <c r="K27" s="154"/>
      <c r="L27" s="154"/>
      <c r="M27" s="154"/>
      <c r="N27" s="154"/>
      <c r="O27" s="154"/>
      <c r="P27" s="154"/>
      <c r="Q27" s="154"/>
      <c r="R27" s="154"/>
      <c r="W27" s="14"/>
    </row>
    <row r="28" spans="1:23" s="15" customFormat="1" ht="14.1" hidden="1" customHeight="1" x14ac:dyDescent="0.25">
      <c r="A28" s="154" t="s">
        <v>167</v>
      </c>
      <c r="B28" s="154">
        <v>76829</v>
      </c>
      <c r="C28" s="154">
        <v>71289</v>
      </c>
      <c r="D28" s="154">
        <v>93772</v>
      </c>
      <c r="E28" s="154">
        <v>75961</v>
      </c>
      <c r="F28" s="154">
        <v>76178</v>
      </c>
      <c r="G28" s="154"/>
      <c r="H28" s="154"/>
      <c r="I28" s="154" t="s">
        <v>174</v>
      </c>
      <c r="J28" s="154"/>
      <c r="K28" s="154"/>
      <c r="L28" s="154"/>
      <c r="M28" s="154"/>
      <c r="N28" s="154"/>
      <c r="O28" s="154"/>
      <c r="P28" s="154"/>
      <c r="Q28" s="154"/>
      <c r="R28" s="154"/>
      <c r="W28" s="14"/>
    </row>
    <row r="29" spans="1:23" s="15" customFormat="1" ht="14.1" hidden="1" customHeight="1" x14ac:dyDescent="0.25">
      <c r="A29" s="154" t="s">
        <v>168</v>
      </c>
      <c r="B29" s="154">
        <v>108599</v>
      </c>
      <c r="C29" s="154">
        <v>114267</v>
      </c>
      <c r="D29" s="154">
        <v>104818</v>
      </c>
      <c r="E29" s="154">
        <v>106832</v>
      </c>
      <c r="F29" s="154">
        <v>108252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W29" s="14"/>
    </row>
    <row r="30" spans="1:23" s="15" customFormat="1" ht="27" hidden="1" customHeight="1" x14ac:dyDescent="0.25">
      <c r="A30" s="154" t="s">
        <v>169</v>
      </c>
      <c r="B30" s="154">
        <v>169937</v>
      </c>
      <c r="C30" s="154">
        <v>166570</v>
      </c>
      <c r="D30" s="154">
        <v>192785</v>
      </c>
      <c r="E30" s="154">
        <v>174890</v>
      </c>
      <c r="F30" s="154">
        <v>175069</v>
      </c>
      <c r="G30" s="154"/>
      <c r="H30" s="154" t="s">
        <v>178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W30" s="14"/>
    </row>
    <row r="31" spans="1:23" s="15" customFormat="1" ht="14.1" hidden="1" customHeight="1" x14ac:dyDescent="0.25">
      <c r="A31" s="154" t="s">
        <v>170</v>
      </c>
      <c r="B31" s="154">
        <v>3.2675775673762085E-2</v>
      </c>
      <c r="C31" s="154">
        <v>3.3928743297016811E-2</v>
      </c>
      <c r="D31" s="154">
        <v>3.4484847742977734E-2</v>
      </c>
      <c r="E31" s="154">
        <v>3.2368283303119368E-2</v>
      </c>
      <c r="F31" s="154">
        <v>3.0217894125477637E-2</v>
      </c>
      <c r="G31" s="154"/>
      <c r="H31" s="154"/>
      <c r="I31" s="154" t="s">
        <v>172</v>
      </c>
      <c r="J31" s="154"/>
      <c r="K31" s="154"/>
      <c r="L31" s="154"/>
      <c r="M31" s="154"/>
      <c r="N31" s="154"/>
      <c r="O31" s="154"/>
      <c r="P31" s="154"/>
      <c r="Q31" s="154"/>
      <c r="R31" s="154"/>
    </row>
    <row r="32" spans="1:23" s="14" customFormat="1" ht="14.1" hidden="1" customHeight="1" x14ac:dyDescent="0.25">
      <c r="A32" s="154" t="s">
        <v>171</v>
      </c>
      <c r="B32" s="154">
        <v>2.4117580306262411E-2</v>
      </c>
      <c r="C32" s="154">
        <v>2.2719551581339939E-2</v>
      </c>
      <c r="D32" s="154">
        <v>2.9059509364341051E-2</v>
      </c>
      <c r="E32" s="154">
        <v>2.1721739769491225E-2</v>
      </c>
      <c r="F32" s="154">
        <v>1.9938664357092063E-2</v>
      </c>
      <c r="G32" s="154"/>
      <c r="H32" s="154"/>
      <c r="I32" s="154" t="s">
        <v>179</v>
      </c>
      <c r="J32" s="154"/>
      <c r="K32" s="154"/>
      <c r="L32" s="154"/>
      <c r="M32" s="154"/>
      <c r="N32" s="154"/>
      <c r="O32" s="154"/>
      <c r="P32" s="154"/>
      <c r="Q32" s="154"/>
      <c r="R32" s="154"/>
    </row>
    <row r="33" spans="1:18" s="14" customFormat="1" ht="40.5" hidden="1" customHeight="1" thickBot="1" x14ac:dyDescent="0.3">
      <c r="A33" s="154" t="s">
        <v>183</v>
      </c>
      <c r="B33" s="154">
        <v>0.6390544731282769</v>
      </c>
      <c r="C33" s="154">
        <v>0.6859998799303596</v>
      </c>
      <c r="D33" s="154">
        <v>0.5437041263583785</v>
      </c>
      <c r="E33" s="154">
        <v>0.61085253587969579</v>
      </c>
      <c r="F33" s="154">
        <v>0.61833905488693031</v>
      </c>
      <c r="G33" s="154"/>
      <c r="H33" s="154"/>
      <c r="I33" s="154" t="s">
        <v>174</v>
      </c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18" ht="45" hidden="1" customHeight="1" x14ac:dyDescent="0.25">
      <c r="A34" s="154"/>
      <c r="B34" s="154" t="s">
        <v>215</v>
      </c>
      <c r="C34" s="154"/>
      <c r="D34" s="154"/>
      <c r="E34" s="154"/>
      <c r="F34" s="154"/>
      <c r="G34" s="154"/>
      <c r="H34" s="154"/>
      <c r="I34" s="154" t="s">
        <v>182</v>
      </c>
      <c r="J34" s="154"/>
      <c r="K34" s="154"/>
      <c r="L34" s="154"/>
      <c r="M34" s="154"/>
      <c r="N34" s="154"/>
      <c r="O34" s="154"/>
      <c r="P34" s="154"/>
      <c r="Q34" s="154"/>
      <c r="R34" s="154"/>
    </row>
    <row r="35" spans="1:18" x14ac:dyDescent="0.25">
      <c r="A35" s="154"/>
      <c r="B35" s="154"/>
      <c r="C35" s="154"/>
      <c r="D35" s="154"/>
      <c r="E35" s="154"/>
      <c r="F35" s="154"/>
      <c r="G35" s="154"/>
      <c r="H35" s="154"/>
      <c r="I35" s="154" t="s">
        <v>174</v>
      </c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18" x14ac:dyDescent="0.25">
      <c r="B36" s="14"/>
      <c r="I36" s="14"/>
    </row>
    <row r="37" spans="1:18" x14ac:dyDescent="0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18" x14ac:dyDescent="0.2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</row>
    <row r="39" spans="1:18" x14ac:dyDescent="0.2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O53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6.85546875" style="41" customWidth="1"/>
    <col min="2" max="2" width="7.5703125" style="43" customWidth="1"/>
    <col min="3" max="3" width="6.28515625" style="43" customWidth="1"/>
    <col min="4" max="4" width="7.5703125" style="43" bestFit="1" customWidth="1"/>
    <col min="5" max="5" width="7.5703125" style="43" customWidth="1"/>
    <col min="6" max="6" width="6.28515625" style="43" customWidth="1"/>
    <col min="7" max="7" width="7.5703125" style="43" bestFit="1" customWidth="1"/>
    <col min="8" max="8" width="9" style="43" customWidth="1"/>
    <col min="9" max="9" width="6.28515625" style="43" customWidth="1"/>
    <col min="10" max="10" width="7.5703125" style="43" bestFit="1" customWidth="1"/>
    <col min="11" max="11" width="9.140625" style="32"/>
    <col min="12" max="12" width="10.140625" style="32" bestFit="1" customWidth="1"/>
    <col min="13" max="13" width="14.5703125" style="32" customWidth="1"/>
    <col min="14" max="14" width="12.5703125" style="32" customWidth="1"/>
    <col min="15" max="15" width="11.7109375" style="32" bestFit="1" customWidth="1"/>
    <col min="16" max="16384" width="9.140625" style="32"/>
  </cols>
  <sheetData>
    <row r="1" spans="1:11" s="43" customFormat="1" hidden="1" x14ac:dyDescent="0.25">
      <c r="A1" s="151"/>
      <c r="B1" s="28"/>
      <c r="C1" s="28"/>
      <c r="D1" s="28"/>
      <c r="E1" s="28"/>
      <c r="F1" s="28"/>
      <c r="G1" s="46"/>
    </row>
    <row r="2" spans="1:11" hidden="1" x14ac:dyDescent="0.25">
      <c r="A2" s="197"/>
      <c r="B2" s="222"/>
      <c r="C2" s="222"/>
      <c r="D2" s="222"/>
      <c r="E2" s="222"/>
      <c r="F2" s="222"/>
    </row>
    <row r="4" spans="1:11" x14ac:dyDescent="0.25">
      <c r="A4" s="316" t="s">
        <v>343</v>
      </c>
      <c r="B4" s="316"/>
      <c r="C4" s="316"/>
      <c r="D4" s="316"/>
      <c r="E4" s="316"/>
      <c r="F4" s="316"/>
      <c r="G4" s="316"/>
      <c r="H4" s="316"/>
      <c r="I4" s="316"/>
      <c r="J4" s="80" t="s">
        <v>400</v>
      </c>
    </row>
    <row r="5" spans="1:11" x14ac:dyDescent="0.25">
      <c r="A5" s="828" t="s">
        <v>436</v>
      </c>
      <c r="B5" s="825" t="s">
        <v>531</v>
      </c>
      <c r="C5" s="826"/>
      <c r="D5" s="827"/>
      <c r="E5" s="825" t="s">
        <v>532</v>
      </c>
      <c r="F5" s="826"/>
      <c r="G5" s="827"/>
      <c r="H5" s="825" t="s">
        <v>533</v>
      </c>
      <c r="I5" s="826"/>
      <c r="J5" s="826"/>
    </row>
    <row r="6" spans="1:11" ht="22.5" x14ac:dyDescent="0.25">
      <c r="A6" s="829"/>
      <c r="B6" s="303" t="s">
        <v>2</v>
      </c>
      <c r="C6" s="304" t="s">
        <v>244</v>
      </c>
      <c r="D6" s="317" t="s">
        <v>274</v>
      </c>
      <c r="E6" s="303" t="s">
        <v>2</v>
      </c>
      <c r="F6" s="304" t="s">
        <v>244</v>
      </c>
      <c r="G6" s="317" t="s">
        <v>274</v>
      </c>
      <c r="H6" s="305" t="s">
        <v>2</v>
      </c>
      <c r="I6" s="304" t="s">
        <v>244</v>
      </c>
      <c r="J6" s="304" t="s">
        <v>274</v>
      </c>
    </row>
    <row r="7" spans="1:11" x14ac:dyDescent="0.25">
      <c r="A7" s="306" t="s">
        <v>137</v>
      </c>
      <c r="B7" s="611">
        <f>B8+B17</f>
        <v>9502.259</v>
      </c>
      <c r="C7" s="612">
        <f>C8+C17</f>
        <v>422.84399999999999</v>
      </c>
      <c r="D7" s="613">
        <f>IFERROR(C7*100/B7,0)</f>
        <v>4.449931326856067</v>
      </c>
      <c r="E7" s="611">
        <f>E8+E17</f>
        <v>9773.3060000000005</v>
      </c>
      <c r="F7" s="612">
        <f>F8+F17</f>
        <v>391.84899999999999</v>
      </c>
      <c r="G7" s="613">
        <f>IFERROR(F7*100/E7,0)</f>
        <v>4.0093802445150084</v>
      </c>
      <c r="H7" s="612">
        <f>H8+H17</f>
        <v>10368.991</v>
      </c>
      <c r="I7" s="612">
        <f>I8+I17</f>
        <v>374.91200000000009</v>
      </c>
      <c r="J7" s="614">
        <f>IFERROR(I7*100/H7,0)</f>
        <v>3.6157037844858784</v>
      </c>
    </row>
    <row r="8" spans="1:11" x14ac:dyDescent="0.25">
      <c r="A8" s="307" t="s">
        <v>275</v>
      </c>
      <c r="B8" s="603">
        <f>+B9+B14+B15+B16</f>
        <v>8438.4940000000006</v>
      </c>
      <c r="C8" s="604">
        <f>SUM(C10:C16)</f>
        <v>414.524</v>
      </c>
      <c r="D8" s="606">
        <f>IFERROR(C8*100/B8,0)</f>
        <v>4.9122983319061433</v>
      </c>
      <c r="E8" s="603">
        <f>+E9+E14+E15+E16</f>
        <v>8644.0220000000008</v>
      </c>
      <c r="F8" s="604">
        <f>SUM(F10:F16)</f>
        <v>380.62599999999998</v>
      </c>
      <c r="G8" s="606">
        <f>IFERROR(F8*100/E8,0)</f>
        <v>4.4033437212445774</v>
      </c>
      <c r="H8" s="615">
        <f>+H9+H14+H15+H16</f>
        <v>9283.7260000000006</v>
      </c>
      <c r="I8" s="604">
        <f>SUM(I10:I16)</f>
        <v>363.68400000000008</v>
      </c>
      <c r="J8" s="605">
        <f>IFERROR(I8*100/H8,0)</f>
        <v>3.9174357364704653</v>
      </c>
    </row>
    <row r="9" spans="1:11" s="42" customFormat="1" ht="22.5" x14ac:dyDescent="0.25">
      <c r="A9" s="308" t="s">
        <v>276</v>
      </c>
      <c r="B9" s="607">
        <f>+B10+B11+B12+B13</f>
        <v>7447.398000000001</v>
      </c>
      <c r="C9" s="616">
        <f>+C10+C11+C12+C13</f>
        <v>399.10599999999999</v>
      </c>
      <c r="D9" s="608">
        <f>IFERROR(C9*100/B9,0)</f>
        <v>5.3589992101939483</v>
      </c>
      <c r="E9" s="607">
        <f>+E10+E11+E12+E13</f>
        <v>7514.2619999999997</v>
      </c>
      <c r="F9" s="616">
        <f>+F10+F11+F12+F13</f>
        <v>374.005</v>
      </c>
      <c r="G9" s="608">
        <f>IFERROR(F9*100/E9,0)</f>
        <v>4.9772685594407013</v>
      </c>
      <c r="H9" s="617">
        <f>+H10+H11+H12+H13</f>
        <v>8061.9350000000004</v>
      </c>
      <c r="I9" s="616">
        <f>+I10+I11+I12+I13</f>
        <v>357.08800000000008</v>
      </c>
      <c r="J9" s="667">
        <f>IFERROR(I9*100/H9,0)</f>
        <v>4.4293088445888005</v>
      </c>
    </row>
    <row r="10" spans="1:11" s="42" customFormat="1" ht="24.75" customHeight="1" x14ac:dyDescent="0.25">
      <c r="A10" s="309" t="s">
        <v>391</v>
      </c>
      <c r="B10" s="618">
        <v>1927.4059999999999</v>
      </c>
      <c r="C10" s="619">
        <v>1.181</v>
      </c>
      <c r="D10" s="620">
        <f>IFERROR(C10*100/B10,0)</f>
        <v>6.1274064727410836E-2</v>
      </c>
      <c r="E10" s="618">
        <v>1965.039</v>
      </c>
      <c r="F10" s="619">
        <v>3.2730000000000001</v>
      </c>
      <c r="G10" s="620">
        <f>IFERROR(F10*100/E10,0)</f>
        <v>0.16656157969383814</v>
      </c>
      <c r="H10" s="621">
        <v>2391.41</v>
      </c>
      <c r="I10" s="619">
        <v>3.89</v>
      </c>
      <c r="J10" s="668">
        <f>IFERROR(I10*100/H10,0)</f>
        <v>0.16266554041339629</v>
      </c>
    </row>
    <row r="11" spans="1:11" s="42" customFormat="1" x14ac:dyDescent="0.25">
      <c r="A11" s="309" t="s">
        <v>277</v>
      </c>
      <c r="B11" s="618">
        <v>10.461</v>
      </c>
      <c r="C11" s="619">
        <v>7.0000000000000001E-3</v>
      </c>
      <c r="D11" s="620">
        <f t="shared" ref="D11:D12" si="0">IFERROR(C11*100/B11,0)</f>
        <v>6.6915208871044837E-2</v>
      </c>
      <c r="E11" s="618">
        <v>21.193000000000001</v>
      </c>
      <c r="F11" s="619">
        <v>2.1000000000000001E-2</v>
      </c>
      <c r="G11" s="620">
        <f t="shared" ref="G11:G13" si="1">IFERROR(F11*100/E11,0)</f>
        <v>9.908932194592554E-2</v>
      </c>
      <c r="H11" s="621">
        <v>31.067</v>
      </c>
      <c r="I11" s="619">
        <v>4.3999999999999997E-2</v>
      </c>
      <c r="J11" s="668">
        <f t="shared" ref="J11:J13" si="2">IFERROR(I11*100/H11,0)</f>
        <v>0.14162938165899505</v>
      </c>
    </row>
    <row r="12" spans="1:11" s="42" customFormat="1" x14ac:dyDescent="0.25">
      <c r="A12" s="309" t="s">
        <v>278</v>
      </c>
      <c r="B12" s="618">
        <v>5461.1940000000004</v>
      </c>
      <c r="C12" s="619">
        <v>375.96600000000001</v>
      </c>
      <c r="D12" s="620">
        <f t="shared" si="0"/>
        <v>6.8843187039317764</v>
      </c>
      <c r="E12" s="618">
        <v>5492.4269999999997</v>
      </c>
      <c r="F12" s="619">
        <v>357.43299999999999</v>
      </c>
      <c r="G12" s="620">
        <f t="shared" si="1"/>
        <v>6.5077423878369265</v>
      </c>
      <c r="H12" s="621">
        <v>5605.1980000000003</v>
      </c>
      <c r="I12" s="619">
        <v>341.09500000000003</v>
      </c>
      <c r="J12" s="668">
        <f t="shared" si="2"/>
        <v>6.0853336492305887</v>
      </c>
    </row>
    <row r="13" spans="1:11" s="42" customFormat="1" x14ac:dyDescent="0.25">
      <c r="A13" s="309" t="s">
        <v>279</v>
      </c>
      <c r="B13" s="618">
        <v>48.337000000000003</v>
      </c>
      <c r="C13" s="619">
        <v>21.952000000000002</v>
      </c>
      <c r="D13" s="620">
        <f>IFERROR(C13*100/B13,0)</f>
        <v>45.414485797629148</v>
      </c>
      <c r="E13" s="618">
        <v>35.603000000000002</v>
      </c>
      <c r="F13" s="619">
        <v>13.278</v>
      </c>
      <c r="G13" s="620">
        <f t="shared" si="1"/>
        <v>37.294610004774874</v>
      </c>
      <c r="H13" s="621">
        <v>34.26</v>
      </c>
      <c r="I13" s="619">
        <v>12.058999999999999</v>
      </c>
      <c r="J13" s="668">
        <f t="shared" si="2"/>
        <v>35.198482194979569</v>
      </c>
    </row>
    <row r="14" spans="1:11" s="193" customFormat="1" ht="22.5" x14ac:dyDescent="0.2">
      <c r="A14" s="308" t="s">
        <v>280</v>
      </c>
      <c r="B14" s="607">
        <v>13.28</v>
      </c>
      <c r="C14" s="616">
        <v>0</v>
      </c>
      <c r="D14" s="608"/>
      <c r="E14" s="607">
        <v>13.21</v>
      </c>
      <c r="F14" s="616">
        <v>0</v>
      </c>
      <c r="G14" s="608"/>
      <c r="H14" s="617">
        <v>12.129</v>
      </c>
      <c r="I14" s="616">
        <v>0</v>
      </c>
      <c r="J14" s="667"/>
      <c r="K14" s="314"/>
    </row>
    <row r="15" spans="1:11" s="193" customFormat="1" ht="33.75" x14ac:dyDescent="0.25">
      <c r="A15" s="308" t="s">
        <v>487</v>
      </c>
      <c r="B15" s="607">
        <v>918.24300000000005</v>
      </c>
      <c r="C15" s="616">
        <v>0</v>
      </c>
      <c r="D15" s="608"/>
      <c r="E15" s="607">
        <v>1050.4960000000001</v>
      </c>
      <c r="F15" s="616">
        <v>0</v>
      </c>
      <c r="G15" s="608"/>
      <c r="H15" s="617">
        <v>1157.2180000000001</v>
      </c>
      <c r="I15" s="616">
        <v>0</v>
      </c>
      <c r="J15" s="667"/>
      <c r="K15" s="42"/>
    </row>
    <row r="16" spans="1:11" s="193" customFormat="1" x14ac:dyDescent="0.25">
      <c r="A16" s="310" t="s">
        <v>281</v>
      </c>
      <c r="B16" s="622">
        <v>59.573</v>
      </c>
      <c r="C16" s="323">
        <v>15.417999999999999</v>
      </c>
      <c r="D16" s="623">
        <f>IFERROR(C16*100/B16,0)</f>
        <v>25.88085206385443</v>
      </c>
      <c r="E16" s="622">
        <v>66.054000000000002</v>
      </c>
      <c r="F16" s="323">
        <v>6.6210000000000004</v>
      </c>
      <c r="G16" s="623">
        <f>IFERROR(F16*100/E16,0)</f>
        <v>10.023617040603144</v>
      </c>
      <c r="H16" s="624">
        <v>52.444000000000003</v>
      </c>
      <c r="I16" s="323">
        <v>6.5960000000000001</v>
      </c>
      <c r="J16" s="324">
        <f>IFERROR(I16*100/H16,0)</f>
        <v>12.577225230722295</v>
      </c>
      <c r="K16" s="42"/>
    </row>
    <row r="17" spans="1:15" s="42" customFormat="1" x14ac:dyDescent="0.25">
      <c r="A17" s="311" t="s">
        <v>282</v>
      </c>
      <c r="B17" s="625">
        <f>SUM(B18:B21)</f>
        <v>1063.7650000000001</v>
      </c>
      <c r="C17" s="626">
        <f>SUM(C18:C21)</f>
        <v>8.32</v>
      </c>
      <c r="D17" s="627">
        <f>IFERROR(C17*100/B17,0)</f>
        <v>0.78212763157276266</v>
      </c>
      <c r="E17" s="625">
        <f t="shared" ref="E17:I17" si="3">SUM(E18:E21)</f>
        <v>1129.2840000000001</v>
      </c>
      <c r="F17" s="626">
        <f t="shared" si="3"/>
        <v>11.223000000000001</v>
      </c>
      <c r="G17" s="627">
        <f>IFERROR(F17*100/E17,0)</f>
        <v>0.99381555038413727</v>
      </c>
      <c r="H17" s="628">
        <f t="shared" si="3"/>
        <v>1085.2649999999999</v>
      </c>
      <c r="I17" s="626">
        <f t="shared" si="3"/>
        <v>11.228</v>
      </c>
      <c r="J17" s="597">
        <f>IFERROR(I17*100/H17,0)</f>
        <v>1.0345860227686325</v>
      </c>
    </row>
    <row r="18" spans="1:15" s="42" customFormat="1" x14ac:dyDescent="0.25">
      <c r="A18" s="308" t="s">
        <v>283</v>
      </c>
      <c r="B18" s="629">
        <v>508.11799999999999</v>
      </c>
      <c r="C18" s="630">
        <v>4.25</v>
      </c>
      <c r="D18" s="608">
        <f>IFERROR(C18*100/B18,0)</f>
        <v>0.83641988671922662</v>
      </c>
      <c r="E18" s="629">
        <v>514.73500000000001</v>
      </c>
      <c r="F18" s="630">
        <v>5.2439999999999998</v>
      </c>
      <c r="G18" s="608">
        <f>IFERROR(F18*100/E18,0)</f>
        <v>1.0187766520636832</v>
      </c>
      <c r="H18" s="631">
        <v>536.94799999999998</v>
      </c>
      <c r="I18" s="630">
        <v>5.0640000000000001</v>
      </c>
      <c r="J18" s="667">
        <f>IFERROR(I18*100/H18,0)</f>
        <v>0.94310808495422271</v>
      </c>
      <c r="K18" s="315"/>
    </row>
    <row r="19" spans="1:15" ht="15" customHeight="1" x14ac:dyDescent="0.25">
      <c r="A19" s="308" t="s">
        <v>284</v>
      </c>
      <c r="B19" s="629">
        <v>4.3659999999999997</v>
      </c>
      <c r="C19" s="630">
        <v>5.1999999999999998E-2</v>
      </c>
      <c r="D19" s="608">
        <f t="shared" ref="D19:D21" si="4">IFERROR(C19*100/B19,0)</f>
        <v>1.191021530004581</v>
      </c>
      <c r="E19" s="629">
        <v>2.7269999999999999</v>
      </c>
      <c r="F19" s="630">
        <v>1.2999999999999999E-2</v>
      </c>
      <c r="G19" s="608">
        <f t="shared" ref="G19:G21" si="5">IFERROR(F19*100/E19,0)</f>
        <v>0.47671433810047675</v>
      </c>
      <c r="H19" s="631">
        <v>2.0779999999999998</v>
      </c>
      <c r="I19" s="630">
        <v>1.9E-2</v>
      </c>
      <c r="J19" s="667">
        <f t="shared" ref="J19:J21" si="6">IFERROR(I19*100/H19,0)</f>
        <v>0.91434071222329161</v>
      </c>
      <c r="K19" s="38"/>
    </row>
    <row r="20" spans="1:15" ht="22.5" x14ac:dyDescent="0.25">
      <c r="A20" s="312" t="s">
        <v>285</v>
      </c>
      <c r="B20" s="632">
        <v>550.79100000000005</v>
      </c>
      <c r="C20" s="633">
        <v>4.016</v>
      </c>
      <c r="D20" s="608">
        <f t="shared" si="4"/>
        <v>0.72913319208193306</v>
      </c>
      <c r="E20" s="632">
        <v>610.50699999999995</v>
      </c>
      <c r="F20" s="633">
        <v>5.9530000000000003</v>
      </c>
      <c r="G20" s="608">
        <f t="shared" si="5"/>
        <v>0.9750911946955565</v>
      </c>
      <c r="H20" s="634">
        <v>545.53300000000002</v>
      </c>
      <c r="I20" s="633">
        <v>6.14</v>
      </c>
      <c r="J20" s="667">
        <f t="shared" si="6"/>
        <v>1.1255047815622519</v>
      </c>
      <c r="K20" s="38"/>
    </row>
    <row r="21" spans="1:15" ht="15.75" thickBot="1" x14ac:dyDescent="0.3">
      <c r="A21" s="313" t="s">
        <v>286</v>
      </c>
      <c r="B21" s="635">
        <v>0.49</v>
      </c>
      <c r="C21" s="636">
        <v>2E-3</v>
      </c>
      <c r="D21" s="608">
        <f t="shared" si="4"/>
        <v>0.40816326530612246</v>
      </c>
      <c r="E21" s="635">
        <v>1.3149999999999999</v>
      </c>
      <c r="F21" s="636">
        <v>1.2999999999999999E-2</v>
      </c>
      <c r="G21" s="608">
        <f t="shared" si="5"/>
        <v>0.98859315589353625</v>
      </c>
      <c r="H21" s="637">
        <v>0.70599999999999996</v>
      </c>
      <c r="I21" s="636">
        <v>5.0000000000000001E-3</v>
      </c>
      <c r="J21" s="669">
        <f t="shared" si="6"/>
        <v>0.708215297450425</v>
      </c>
      <c r="K21" s="38"/>
    </row>
    <row r="22" spans="1:15" ht="19.5" customHeight="1" x14ac:dyDescent="0.25">
      <c r="A22" s="824" t="s">
        <v>488</v>
      </c>
      <c r="B22" s="824"/>
      <c r="C22" s="824"/>
      <c r="D22" s="824"/>
      <c r="E22" s="824"/>
      <c r="F22" s="824"/>
      <c r="G22" s="824"/>
      <c r="H22" s="824"/>
      <c r="I22" s="824"/>
      <c r="J22" s="824"/>
    </row>
    <row r="24" spans="1:15" x14ac:dyDescent="0.25">
      <c r="L24" s="37"/>
      <c r="M24" s="36"/>
      <c r="N24" s="36"/>
      <c r="O24" s="36"/>
    </row>
    <row r="25" spans="1:15" x14ac:dyDescent="0.25">
      <c r="L25" s="33"/>
    </row>
    <row r="26" spans="1:15" x14ac:dyDescent="0.25">
      <c r="L26" s="33"/>
    </row>
    <row r="27" spans="1:15" x14ac:dyDescent="0.25">
      <c r="L27" s="33"/>
    </row>
    <row r="28" spans="1:15" x14ac:dyDescent="0.25">
      <c r="L28" s="33"/>
    </row>
    <row r="29" spans="1:15" x14ac:dyDescent="0.25">
      <c r="L29" s="33"/>
    </row>
    <row r="30" spans="1:15" x14ac:dyDescent="0.25">
      <c r="L30" s="33"/>
    </row>
    <row r="31" spans="1:15" x14ac:dyDescent="0.25">
      <c r="L31" s="33"/>
    </row>
    <row r="32" spans="1:15" x14ac:dyDescent="0.25">
      <c r="L32" s="33"/>
    </row>
    <row r="33" spans="12:12" x14ac:dyDescent="0.25">
      <c r="L33" s="33"/>
    </row>
    <row r="34" spans="12:12" x14ac:dyDescent="0.25">
      <c r="L34" s="33"/>
    </row>
    <row r="35" spans="12:12" x14ac:dyDescent="0.25">
      <c r="L35" s="33"/>
    </row>
    <row r="36" spans="12:12" x14ac:dyDescent="0.25">
      <c r="L36" s="33"/>
    </row>
    <row r="37" spans="12:12" x14ac:dyDescent="0.25">
      <c r="L37" s="33"/>
    </row>
    <row r="38" spans="12:12" x14ac:dyDescent="0.25">
      <c r="L38" s="33"/>
    </row>
    <row r="39" spans="12:12" x14ac:dyDescent="0.25">
      <c r="L39" s="33"/>
    </row>
    <row r="40" spans="12:12" x14ac:dyDescent="0.25">
      <c r="L40" s="33"/>
    </row>
    <row r="41" spans="12:12" x14ac:dyDescent="0.25">
      <c r="L41" s="33"/>
    </row>
    <row r="42" spans="12:12" x14ac:dyDescent="0.25">
      <c r="L42" s="33"/>
    </row>
    <row r="43" spans="12:12" x14ac:dyDescent="0.25">
      <c r="L43" s="33"/>
    </row>
    <row r="44" spans="12:12" x14ac:dyDescent="0.25">
      <c r="L44" s="33"/>
    </row>
    <row r="45" spans="12:12" x14ac:dyDescent="0.25">
      <c r="L45" s="33"/>
    </row>
    <row r="46" spans="12:12" x14ac:dyDescent="0.25">
      <c r="L46" s="33"/>
    </row>
    <row r="47" spans="12:12" x14ac:dyDescent="0.25">
      <c r="L47" s="33"/>
    </row>
    <row r="48" spans="12:12" x14ac:dyDescent="0.25">
      <c r="L48" s="33"/>
    </row>
    <row r="49" spans="12:12" x14ac:dyDescent="0.25">
      <c r="L49" s="33"/>
    </row>
    <row r="50" spans="12:12" x14ac:dyDescent="0.25">
      <c r="L50" s="33"/>
    </row>
    <row r="51" spans="12:12" x14ac:dyDescent="0.25">
      <c r="L51" s="33"/>
    </row>
    <row r="52" spans="12:12" x14ac:dyDescent="0.25">
      <c r="L52" s="33"/>
    </row>
    <row r="53" spans="12:12" x14ac:dyDescent="0.25">
      <c r="L53" s="33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J21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5703125" style="41" customWidth="1"/>
    <col min="2" max="2" width="7.7109375" style="43" customWidth="1"/>
    <col min="3" max="3" width="7.42578125" style="43" customWidth="1"/>
    <col min="4" max="4" width="7.140625" style="43" customWidth="1"/>
    <col min="5" max="5" width="7.7109375" style="43" customWidth="1"/>
    <col min="6" max="6" width="7.42578125" style="43" customWidth="1"/>
    <col min="7" max="7" width="7.140625" style="43" customWidth="1"/>
    <col min="8" max="8" width="7.7109375" style="43" customWidth="1"/>
    <col min="9" max="9" width="7.42578125" style="43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97"/>
      <c r="B1" s="222"/>
      <c r="C1" s="222"/>
      <c r="D1" s="222"/>
    </row>
    <row r="2" spans="1:10" hidden="1" x14ac:dyDescent="0.25">
      <c r="A2" s="197"/>
      <c r="B2" s="222"/>
      <c r="C2" s="222"/>
      <c r="D2" s="222"/>
    </row>
    <row r="4" spans="1:10" x14ac:dyDescent="0.25">
      <c r="A4" s="316" t="s">
        <v>344</v>
      </c>
      <c r="B4" s="316"/>
      <c r="C4" s="316"/>
      <c r="D4" s="316"/>
      <c r="E4" s="316"/>
      <c r="F4" s="316"/>
      <c r="G4" s="316"/>
      <c r="H4" s="316"/>
      <c r="I4" s="316"/>
      <c r="J4" s="80" t="s">
        <v>400</v>
      </c>
    </row>
    <row r="5" spans="1:10" x14ac:dyDescent="0.25">
      <c r="A5" s="836" t="s">
        <v>436</v>
      </c>
      <c r="B5" s="832" t="s">
        <v>531</v>
      </c>
      <c r="C5" s="833"/>
      <c r="D5" s="833"/>
      <c r="E5" s="832" t="s">
        <v>532</v>
      </c>
      <c r="F5" s="833"/>
      <c r="G5" s="834"/>
      <c r="H5" s="835" t="s">
        <v>533</v>
      </c>
      <c r="I5" s="833"/>
      <c r="J5" s="833"/>
    </row>
    <row r="6" spans="1:10" ht="18" x14ac:dyDescent="0.25">
      <c r="A6" s="837"/>
      <c r="B6" s="728" t="s">
        <v>2</v>
      </c>
      <c r="C6" s="729" t="s">
        <v>244</v>
      </c>
      <c r="D6" s="729" t="s">
        <v>274</v>
      </c>
      <c r="E6" s="728" t="s">
        <v>2</v>
      </c>
      <c r="F6" s="729" t="s">
        <v>244</v>
      </c>
      <c r="G6" s="730" t="s">
        <v>274</v>
      </c>
      <c r="H6" s="731" t="s">
        <v>2</v>
      </c>
      <c r="I6" s="729" t="s">
        <v>244</v>
      </c>
      <c r="J6" s="729" t="s">
        <v>274</v>
      </c>
    </row>
    <row r="7" spans="1:10" s="42" customFormat="1" x14ac:dyDescent="0.25">
      <c r="A7" s="703" t="s">
        <v>137</v>
      </c>
      <c r="B7" s="704">
        <f>+B11+B15</f>
        <v>9502.26</v>
      </c>
      <c r="C7" s="705">
        <f>C11+C15</f>
        <v>422.84200000000004</v>
      </c>
      <c r="D7" s="706">
        <f t="shared" ref="D7:D18" si="0">IFERROR(C7*100/B7,0)</f>
        <v>4.4499098109291895</v>
      </c>
      <c r="E7" s="704">
        <f>E11+E15</f>
        <v>9773.3059999999987</v>
      </c>
      <c r="F7" s="705">
        <f>F11+F15</f>
        <v>391.84899999999999</v>
      </c>
      <c r="G7" s="707">
        <f t="shared" ref="G7:G18" si="1">IFERROR(F7*100/E7,0)</f>
        <v>4.0093802445150093</v>
      </c>
      <c r="H7" s="705">
        <f>H11+H15</f>
        <v>10368.991</v>
      </c>
      <c r="I7" s="705">
        <f>I11+I15</f>
        <v>374.91399999999999</v>
      </c>
      <c r="J7" s="706">
        <f t="shared" ref="J7:J18" si="2">IFERROR(I7*100/H7,0)</f>
        <v>3.6157230727657108</v>
      </c>
    </row>
    <row r="8" spans="1:10" s="42" customFormat="1" ht="15" customHeight="1" x14ac:dyDescent="0.25">
      <c r="A8" s="708" t="s">
        <v>287</v>
      </c>
      <c r="B8" s="709">
        <f t="shared" ref="B8:B10" si="3">+B12+B16</f>
        <v>8558.9930000000004</v>
      </c>
      <c r="C8" s="710">
        <f t="shared" ref="C8:C10" si="4">C12+C16</f>
        <v>53.366</v>
      </c>
      <c r="D8" s="711">
        <f t="shared" si="0"/>
        <v>0.62350792902856678</v>
      </c>
      <c r="E8" s="709">
        <f t="shared" ref="E8:E10" si="5">+E12+E16</f>
        <v>8835.5450000000001</v>
      </c>
      <c r="F8" s="712">
        <f t="shared" ref="F8:F10" si="6">F12+F16</f>
        <v>73.055999999999997</v>
      </c>
      <c r="G8" s="713">
        <f t="shared" si="1"/>
        <v>0.82684203407939172</v>
      </c>
      <c r="H8" s="710">
        <f t="shared" ref="H8:H10" si="7">+H12+H16</f>
        <v>9296.8290000000015</v>
      </c>
      <c r="I8" s="710">
        <f t="shared" ref="I8:I10" si="8">I12+I16</f>
        <v>72.105000000000004</v>
      </c>
      <c r="J8" s="711">
        <f t="shared" si="2"/>
        <v>0.77558703080372871</v>
      </c>
    </row>
    <row r="9" spans="1:10" s="42" customFormat="1" ht="15" customHeight="1" x14ac:dyDescent="0.25">
      <c r="A9" s="708" t="s">
        <v>288</v>
      </c>
      <c r="B9" s="709">
        <f t="shared" si="3"/>
        <v>525.23299999999995</v>
      </c>
      <c r="C9" s="710">
        <f t="shared" si="4"/>
        <v>47.321999999999996</v>
      </c>
      <c r="D9" s="711">
        <f t="shared" si="0"/>
        <v>9.0097156880850982</v>
      </c>
      <c r="E9" s="709">
        <f t="shared" si="5"/>
        <v>629.98199999999997</v>
      </c>
      <c r="F9" s="712">
        <f t="shared" si="6"/>
        <v>68.009</v>
      </c>
      <c r="G9" s="713">
        <f t="shared" si="1"/>
        <v>10.795387804730929</v>
      </c>
      <c r="H9" s="710">
        <f t="shared" si="7"/>
        <v>792.87400000000002</v>
      </c>
      <c r="I9" s="710">
        <f t="shared" si="8"/>
        <v>74.663000000000011</v>
      </c>
      <c r="J9" s="711">
        <f t="shared" si="2"/>
        <v>9.4167547428721345</v>
      </c>
    </row>
    <row r="10" spans="1:10" s="42" customFormat="1" ht="15" customHeight="1" x14ac:dyDescent="0.25">
      <c r="A10" s="714" t="s">
        <v>289</v>
      </c>
      <c r="B10" s="715">
        <f t="shared" si="3"/>
        <v>418.03399999999999</v>
      </c>
      <c r="C10" s="716">
        <f t="shared" si="4"/>
        <v>322.154</v>
      </c>
      <c r="D10" s="711">
        <f t="shared" si="0"/>
        <v>77.064066559179409</v>
      </c>
      <c r="E10" s="715">
        <f t="shared" si="5"/>
        <v>307.779</v>
      </c>
      <c r="F10" s="716">
        <f t="shared" si="6"/>
        <v>250.78399999999999</v>
      </c>
      <c r="G10" s="713">
        <f t="shared" si="1"/>
        <v>81.481842490878194</v>
      </c>
      <c r="H10" s="716">
        <f t="shared" si="7"/>
        <v>279.28800000000001</v>
      </c>
      <c r="I10" s="716">
        <f t="shared" si="8"/>
        <v>228.14599999999999</v>
      </c>
      <c r="J10" s="711">
        <f t="shared" si="2"/>
        <v>81.68843630947265</v>
      </c>
    </row>
    <row r="11" spans="1:10" s="42" customFormat="1" ht="15" customHeight="1" x14ac:dyDescent="0.25">
      <c r="A11" s="717" t="s">
        <v>275</v>
      </c>
      <c r="B11" s="704">
        <f>SUM(B12:B14)</f>
        <v>8438.4940000000006</v>
      </c>
      <c r="C11" s="705">
        <f>SUM(C12:C14)</f>
        <v>414.52200000000005</v>
      </c>
      <c r="D11" s="706">
        <f t="shared" si="0"/>
        <v>4.9122746309945828</v>
      </c>
      <c r="E11" s="704">
        <f>SUM(E12:E14)</f>
        <v>8644.021999999999</v>
      </c>
      <c r="F11" s="705">
        <f>SUM(F12:F14)</f>
        <v>380.625</v>
      </c>
      <c r="G11" s="707">
        <f t="shared" si="1"/>
        <v>4.4033321525558362</v>
      </c>
      <c r="H11" s="705">
        <f>SUM(H12:H14)</f>
        <v>9283.7260000000006</v>
      </c>
      <c r="I11" s="705">
        <f>SUM(I12:I14)</f>
        <v>363.685</v>
      </c>
      <c r="J11" s="706">
        <f t="shared" si="2"/>
        <v>3.9174465080076684</v>
      </c>
    </row>
    <row r="12" spans="1:10" s="42" customFormat="1" ht="15" customHeight="1" x14ac:dyDescent="0.25">
      <c r="A12" s="718" t="s">
        <v>287</v>
      </c>
      <c r="B12" s="709">
        <v>7562.6790000000001</v>
      </c>
      <c r="C12" s="710">
        <v>49.262</v>
      </c>
      <c r="D12" s="711">
        <f t="shared" si="0"/>
        <v>0.6513829292503357</v>
      </c>
      <c r="E12" s="709">
        <v>7766.8419999999996</v>
      </c>
      <c r="F12" s="712">
        <v>66.290999999999997</v>
      </c>
      <c r="G12" s="713">
        <f t="shared" si="1"/>
        <v>0.85351292069543838</v>
      </c>
      <c r="H12" s="719">
        <v>8289.5220000000008</v>
      </c>
      <c r="I12" s="710">
        <v>65.311999999999998</v>
      </c>
      <c r="J12" s="711">
        <f t="shared" si="2"/>
        <v>0.78788620139979115</v>
      </c>
    </row>
    <row r="13" spans="1:10" s="42" customFormat="1" ht="15" customHeight="1" x14ac:dyDescent="0.25">
      <c r="A13" s="718" t="s">
        <v>288</v>
      </c>
      <c r="B13" s="709">
        <v>459.625</v>
      </c>
      <c r="C13" s="710">
        <v>43.601999999999997</v>
      </c>
      <c r="D13" s="711">
        <f t="shared" si="0"/>
        <v>9.4864291542017938</v>
      </c>
      <c r="E13" s="709">
        <v>570.44100000000003</v>
      </c>
      <c r="F13" s="712">
        <v>64.037999999999997</v>
      </c>
      <c r="G13" s="713">
        <f t="shared" si="1"/>
        <v>11.226051423372441</v>
      </c>
      <c r="H13" s="710">
        <v>717.12099999999998</v>
      </c>
      <c r="I13" s="710">
        <v>70.635000000000005</v>
      </c>
      <c r="J13" s="711">
        <f t="shared" si="2"/>
        <v>9.8498021951665073</v>
      </c>
    </row>
    <row r="14" spans="1:10" s="42" customFormat="1" ht="15" customHeight="1" x14ac:dyDescent="0.25">
      <c r="A14" s="720" t="s">
        <v>289</v>
      </c>
      <c r="B14" s="721">
        <v>416.19</v>
      </c>
      <c r="C14" s="722">
        <v>321.65800000000002</v>
      </c>
      <c r="D14" s="711">
        <f t="shared" si="0"/>
        <v>77.28633556788968</v>
      </c>
      <c r="E14" s="721">
        <v>306.73899999999998</v>
      </c>
      <c r="F14" s="722">
        <v>250.29599999999999</v>
      </c>
      <c r="G14" s="713">
        <f t="shared" si="1"/>
        <v>81.599014145576533</v>
      </c>
      <c r="H14" s="722">
        <v>277.08300000000003</v>
      </c>
      <c r="I14" s="722">
        <v>227.738</v>
      </c>
      <c r="J14" s="711">
        <f t="shared" si="2"/>
        <v>82.191256771436713</v>
      </c>
    </row>
    <row r="15" spans="1:10" s="42" customFormat="1" ht="15" customHeight="1" x14ac:dyDescent="0.25">
      <c r="A15" s="723" t="s">
        <v>282</v>
      </c>
      <c r="B15" s="704">
        <f>SUM(B16:B18)</f>
        <v>1063.7660000000001</v>
      </c>
      <c r="C15" s="705">
        <f>SUM(C16:C18)</f>
        <v>8.32</v>
      </c>
      <c r="D15" s="706">
        <f t="shared" si="0"/>
        <v>0.7821268963287038</v>
      </c>
      <c r="E15" s="704">
        <f>SUM(E16:E18)</f>
        <v>1129.2839999999999</v>
      </c>
      <c r="F15" s="705">
        <f>SUM(F16:F18)</f>
        <v>11.224</v>
      </c>
      <c r="G15" s="707">
        <f t="shared" si="1"/>
        <v>0.99390410206821334</v>
      </c>
      <c r="H15" s="705">
        <f>SUM(H16:H18)</f>
        <v>1085.2649999999999</v>
      </c>
      <c r="I15" s="705">
        <f>SUM(I16:I18)</f>
        <v>11.228999999999999</v>
      </c>
      <c r="J15" s="706">
        <f t="shared" si="2"/>
        <v>1.0346781661621816</v>
      </c>
    </row>
    <row r="16" spans="1:10" s="42" customFormat="1" ht="15" customHeight="1" x14ac:dyDescent="0.25">
      <c r="A16" s="708" t="s">
        <v>287</v>
      </c>
      <c r="B16" s="709">
        <v>996.31399999999996</v>
      </c>
      <c r="C16" s="710">
        <v>4.1040000000000001</v>
      </c>
      <c r="D16" s="711">
        <f t="shared" si="0"/>
        <v>0.41191833096794789</v>
      </c>
      <c r="E16" s="709">
        <v>1068.703</v>
      </c>
      <c r="F16" s="712">
        <v>6.7649999999999997</v>
      </c>
      <c r="G16" s="713">
        <f t="shared" si="1"/>
        <v>0.63301029378601914</v>
      </c>
      <c r="H16" s="710">
        <v>1007.307</v>
      </c>
      <c r="I16" s="710">
        <v>6.7930000000000001</v>
      </c>
      <c r="J16" s="711">
        <f t="shared" si="2"/>
        <v>0.6743723611570257</v>
      </c>
    </row>
    <row r="17" spans="1:10" ht="15" customHeight="1" x14ac:dyDescent="0.25">
      <c r="A17" s="708" t="s">
        <v>288</v>
      </c>
      <c r="B17" s="709">
        <v>65.608000000000004</v>
      </c>
      <c r="C17" s="710">
        <v>3.72</v>
      </c>
      <c r="D17" s="711">
        <f t="shared" si="0"/>
        <v>5.6700402389952442</v>
      </c>
      <c r="E17" s="709">
        <v>59.540999999999997</v>
      </c>
      <c r="F17" s="712">
        <v>3.9710000000000001</v>
      </c>
      <c r="G17" s="713">
        <f t="shared" si="1"/>
        <v>6.6693538905963967</v>
      </c>
      <c r="H17" s="710">
        <v>75.753</v>
      </c>
      <c r="I17" s="710">
        <v>4.0279999999999996</v>
      </c>
      <c r="J17" s="711">
        <f t="shared" si="2"/>
        <v>5.3172811637822921</v>
      </c>
    </row>
    <row r="18" spans="1:10" ht="15" customHeight="1" thickBot="1" x14ac:dyDescent="0.3">
      <c r="A18" s="724" t="s">
        <v>289</v>
      </c>
      <c r="B18" s="725">
        <v>1.8440000000000001</v>
      </c>
      <c r="C18" s="726">
        <v>0.496</v>
      </c>
      <c r="D18" s="711">
        <f t="shared" si="0"/>
        <v>26.898047722342731</v>
      </c>
      <c r="E18" s="725">
        <v>1.04</v>
      </c>
      <c r="F18" s="726">
        <v>0.48799999999999999</v>
      </c>
      <c r="G18" s="727">
        <f t="shared" si="1"/>
        <v>46.92307692307692</v>
      </c>
      <c r="H18" s="726">
        <v>2.2050000000000001</v>
      </c>
      <c r="I18" s="726">
        <v>0.40799999999999997</v>
      </c>
      <c r="J18" s="711">
        <f t="shared" si="2"/>
        <v>18.503401360544217</v>
      </c>
    </row>
    <row r="19" spans="1:10" x14ac:dyDescent="0.25">
      <c r="A19" s="830"/>
      <c r="B19" s="831"/>
      <c r="C19" s="831"/>
      <c r="D19" s="831"/>
      <c r="E19" s="831"/>
      <c r="F19" s="831"/>
      <c r="G19" s="831"/>
      <c r="H19" s="831"/>
      <c r="I19" s="831"/>
      <c r="J19" s="831"/>
    </row>
    <row r="20" spans="1:10" x14ac:dyDescent="0.25">
      <c r="A20" s="318"/>
    </row>
    <row r="21" spans="1:10" x14ac:dyDescent="0.25">
      <c r="A21" s="318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J20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28515625" style="41" customWidth="1"/>
    <col min="2" max="2" width="7.85546875" style="43" bestFit="1" customWidth="1"/>
    <col min="3" max="3" width="6.42578125" style="43" bestFit="1" customWidth="1"/>
    <col min="4" max="4" width="7.28515625" style="43" customWidth="1"/>
    <col min="5" max="5" width="7.85546875" style="43" bestFit="1" customWidth="1"/>
    <col min="6" max="6" width="6.42578125" style="43" bestFit="1" customWidth="1"/>
    <col min="7" max="7" width="7.28515625" style="43" customWidth="1"/>
    <col min="8" max="8" width="8.85546875" style="43" customWidth="1"/>
    <col min="9" max="9" width="6.42578125" style="43" bestFit="1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51"/>
      <c r="B1" s="28"/>
      <c r="C1" s="28"/>
      <c r="D1" s="28"/>
      <c r="E1" s="28"/>
      <c r="F1" s="28"/>
      <c r="G1" s="28"/>
      <c r="H1" s="28"/>
      <c r="I1" s="28"/>
      <c r="J1" s="28"/>
    </row>
    <row r="2" spans="1:10" hidden="1" x14ac:dyDescent="0.25">
      <c r="A2" s="197"/>
      <c r="B2" s="222"/>
      <c r="C2" s="222"/>
      <c r="D2" s="222"/>
      <c r="E2" s="222"/>
      <c r="F2" s="222"/>
      <c r="G2" s="222"/>
      <c r="H2" s="222"/>
      <c r="I2" s="222"/>
      <c r="J2" s="222"/>
    </row>
    <row r="3" spans="1:10" x14ac:dyDescent="0.25">
      <c r="A3" s="197"/>
      <c r="B3" s="222"/>
      <c r="C3" s="222"/>
      <c r="D3" s="222"/>
      <c r="E3" s="222"/>
      <c r="F3" s="222"/>
      <c r="G3" s="222"/>
      <c r="H3" s="222"/>
      <c r="I3" s="222"/>
      <c r="J3" s="222"/>
    </row>
    <row r="4" spans="1:10" x14ac:dyDescent="0.25">
      <c r="A4" s="319" t="s">
        <v>345</v>
      </c>
      <c r="B4" s="319"/>
      <c r="C4" s="319"/>
      <c r="D4" s="319"/>
      <c r="E4" s="319"/>
      <c r="F4" s="319"/>
      <c r="G4" s="319"/>
      <c r="H4" s="319"/>
      <c r="I4" s="319"/>
      <c r="J4" s="80" t="s">
        <v>400</v>
      </c>
    </row>
    <row r="5" spans="1:10" x14ac:dyDescent="0.25">
      <c r="A5" s="838" t="s">
        <v>290</v>
      </c>
      <c r="B5" s="839" t="s">
        <v>531</v>
      </c>
      <c r="C5" s="840"/>
      <c r="D5" s="841"/>
      <c r="E5" s="839" t="s">
        <v>532</v>
      </c>
      <c r="F5" s="840"/>
      <c r="G5" s="841"/>
      <c r="H5" s="842" t="str">
        <f>'Pr 3'!K1</f>
        <v>06/2021.</v>
      </c>
      <c r="I5" s="842"/>
      <c r="J5" s="842"/>
    </row>
    <row r="6" spans="1:10" s="42" customFormat="1" ht="22.5" x14ac:dyDescent="0.25">
      <c r="A6" s="838"/>
      <c r="B6" s="675" t="s">
        <v>2</v>
      </c>
      <c r="C6" s="676" t="s">
        <v>244</v>
      </c>
      <c r="D6" s="677" t="s">
        <v>274</v>
      </c>
      <c r="E6" s="675" t="s">
        <v>2</v>
      </c>
      <c r="F6" s="676" t="s">
        <v>244</v>
      </c>
      <c r="G6" s="677" t="s">
        <v>274</v>
      </c>
      <c r="H6" s="678" t="s">
        <v>2</v>
      </c>
      <c r="I6" s="676" t="s">
        <v>244</v>
      </c>
      <c r="J6" s="676" t="s">
        <v>274</v>
      </c>
    </row>
    <row r="7" spans="1:10" s="42" customFormat="1" x14ac:dyDescent="0.25">
      <c r="A7" s="679" t="s">
        <v>291</v>
      </c>
      <c r="B7" s="680">
        <f>+B10+B13+B16</f>
        <v>5463.2930000000006</v>
      </c>
      <c r="C7" s="681">
        <f>+C10+C13+C16</f>
        <v>376.90300000000002</v>
      </c>
      <c r="D7" s="684">
        <f>IFERROR(C7*100/B7,0)</f>
        <v>6.8988245733845863</v>
      </c>
      <c r="E7" s="683">
        <f>+E10+E13+E16</f>
        <v>5493.8060000000005</v>
      </c>
      <c r="F7" s="681">
        <f>+F10+F13+F16</f>
        <v>357.43299999999999</v>
      </c>
      <c r="G7" s="684">
        <f>IFERROR(F7*100/E7,0)</f>
        <v>6.5061088797092577</v>
      </c>
      <c r="H7" s="681">
        <f>+H10+H13+H16</f>
        <v>5605.2010000000009</v>
      </c>
      <c r="I7" s="681">
        <f>+I10+I13+I16</f>
        <v>341.09700000000004</v>
      </c>
      <c r="J7" s="685">
        <f>IFERROR(I7*100/H7,0)</f>
        <v>6.0853660734021844</v>
      </c>
    </row>
    <row r="8" spans="1:10" s="42" customFormat="1" x14ac:dyDescent="0.25">
      <c r="A8" s="686" t="s">
        <v>292</v>
      </c>
      <c r="B8" s="321">
        <f t="shared" ref="B8:I9" si="0">+B11+B14+B17</f>
        <v>2961.192</v>
      </c>
      <c r="C8" s="616">
        <f t="shared" si="0"/>
        <v>207.23199999999997</v>
      </c>
      <c r="D8" s="673">
        <f t="shared" ref="D8:D18" si="1">IFERROR(C8*100/B8,0)</f>
        <v>6.9982628617124449</v>
      </c>
      <c r="E8" s="607">
        <f t="shared" ref="E8:F8" si="2">+E11+E14+E17</f>
        <v>2921.0459999999998</v>
      </c>
      <c r="F8" s="616">
        <f t="shared" si="2"/>
        <v>192.07</v>
      </c>
      <c r="G8" s="673">
        <f>IFERROR(F8*100/E8,0)</f>
        <v>6.5753842972688554</v>
      </c>
      <c r="H8" s="616">
        <f t="shared" ref="H8:I8" si="3">+H11+H14+H17</f>
        <v>2906.7270000000008</v>
      </c>
      <c r="I8" s="616">
        <f t="shared" si="3"/>
        <v>177.642</v>
      </c>
      <c r="J8" s="670">
        <f>IFERROR(I8*100/H8,0)</f>
        <v>6.1114098434424688</v>
      </c>
    </row>
    <row r="9" spans="1:10" s="42" customFormat="1" ht="15" customHeight="1" x14ac:dyDescent="0.25">
      <c r="A9" s="687" t="s">
        <v>293</v>
      </c>
      <c r="B9" s="688">
        <f t="shared" si="0"/>
        <v>2502.1010000000001</v>
      </c>
      <c r="C9" s="689">
        <f t="shared" si="0"/>
        <v>169.67099999999999</v>
      </c>
      <c r="D9" s="692">
        <f t="shared" si="1"/>
        <v>6.7811411289951913</v>
      </c>
      <c r="E9" s="691">
        <f t="shared" si="0"/>
        <v>2572.7599999999998</v>
      </c>
      <c r="F9" s="689">
        <f t="shared" si="0"/>
        <v>165.363</v>
      </c>
      <c r="G9" s="692">
        <f>IFERROR(F9*100/E9,0)</f>
        <v>6.4274553397907308</v>
      </c>
      <c r="H9" s="689">
        <f t="shared" si="0"/>
        <v>2698.4740000000002</v>
      </c>
      <c r="I9" s="689">
        <f t="shared" si="0"/>
        <v>163.45500000000001</v>
      </c>
      <c r="J9" s="693">
        <f>IFERROR(I9*100/H9,0)</f>
        <v>6.0573123921149516</v>
      </c>
    </row>
    <row r="10" spans="1:10" s="42" customFormat="1" x14ac:dyDescent="0.25">
      <c r="A10" s="307" t="s">
        <v>287</v>
      </c>
      <c r="B10" s="598">
        <f>+B11+B12</f>
        <v>4630.1980000000003</v>
      </c>
      <c r="C10" s="671">
        <f>+C11+C12</f>
        <v>40.492000000000004</v>
      </c>
      <c r="D10" s="672">
        <f>IFERROR(C10*100/B10,0)</f>
        <v>0.87451983694865754</v>
      </c>
      <c r="E10" s="674">
        <f>+E11+E12</f>
        <v>4658.5190000000002</v>
      </c>
      <c r="F10" s="671">
        <f>+F11+F12</f>
        <v>63.105000000000004</v>
      </c>
      <c r="G10" s="672">
        <f>IFERROR(F10*100/E10,0)</f>
        <v>1.3546150611385293</v>
      </c>
      <c r="H10" s="671">
        <f>+H11+H12</f>
        <v>4659.0220000000008</v>
      </c>
      <c r="I10" s="599">
        <f>+I11+I12</f>
        <v>61.875</v>
      </c>
      <c r="J10" s="695">
        <f>IFERROR(I10*100/H10,0)</f>
        <v>1.3280684229436992</v>
      </c>
    </row>
    <row r="11" spans="1:10" s="42" customFormat="1" x14ac:dyDescent="0.25">
      <c r="A11" s="320" t="s">
        <v>292</v>
      </c>
      <c r="B11" s="321">
        <v>2527.076</v>
      </c>
      <c r="C11" s="616">
        <v>24.917000000000002</v>
      </c>
      <c r="D11" s="608">
        <f t="shared" si="1"/>
        <v>0.98600121246848149</v>
      </c>
      <c r="E11" s="607">
        <v>2436.982</v>
      </c>
      <c r="F11" s="616">
        <v>34.036000000000001</v>
      </c>
      <c r="G11" s="608">
        <f t="shared" ref="G11:G18" si="4">IFERROR(F11*100/E11,0)</f>
        <v>1.3966455230280734</v>
      </c>
      <c r="H11" s="616">
        <f>+'Pr 3'!B5</f>
        <v>2385.9920000000006</v>
      </c>
      <c r="I11" s="322">
        <f>+'Pr 3'!F5</f>
        <v>32.724000000000004</v>
      </c>
      <c r="J11" s="667">
        <f t="shared" ref="J11:J18" si="5">IFERROR(I11*100/H11,0)</f>
        <v>1.3715050176195056</v>
      </c>
    </row>
    <row r="12" spans="1:10" s="42" customFormat="1" ht="15" customHeight="1" x14ac:dyDescent="0.25">
      <c r="A12" s="686" t="s">
        <v>293</v>
      </c>
      <c r="B12" s="321">
        <v>2103.1219999999998</v>
      </c>
      <c r="C12" s="616">
        <v>15.574999999999999</v>
      </c>
      <c r="D12" s="608">
        <f t="shared" si="1"/>
        <v>0.74056569233739178</v>
      </c>
      <c r="E12" s="607">
        <v>2221.5369999999998</v>
      </c>
      <c r="F12" s="616">
        <v>29.068999999999999</v>
      </c>
      <c r="G12" s="608">
        <f t="shared" si="4"/>
        <v>1.3085084785893732</v>
      </c>
      <c r="H12" s="616">
        <f>+'Pr 3'!B27</f>
        <v>2273.0300000000002</v>
      </c>
      <c r="I12" s="322">
        <f>+'Pr 3'!F27</f>
        <v>29.151</v>
      </c>
      <c r="J12" s="667">
        <f t="shared" si="5"/>
        <v>1.2824731745731468</v>
      </c>
    </row>
    <row r="13" spans="1:10" s="42" customFormat="1" x14ac:dyDescent="0.25">
      <c r="A13" s="679" t="s">
        <v>288</v>
      </c>
      <c r="B13" s="680">
        <f>+B14+B15</f>
        <v>453.36599999999999</v>
      </c>
      <c r="C13" s="681">
        <f>+C14+C15</f>
        <v>41.46</v>
      </c>
      <c r="D13" s="682">
        <f>IFERROR(C13*100/B13,0)</f>
        <v>9.1449292624502068</v>
      </c>
      <c r="E13" s="683">
        <f>+E14+E15</f>
        <v>547.80400000000009</v>
      </c>
      <c r="F13" s="681">
        <f>+F14+F15</f>
        <v>62.100999999999999</v>
      </c>
      <c r="G13" s="682">
        <f>IFERROR(F13*100/E13,0)</f>
        <v>11.336353878394462</v>
      </c>
      <c r="H13" s="681">
        <f>+H14+H15</f>
        <v>687.59700000000009</v>
      </c>
      <c r="I13" s="681">
        <f>+I14+I15</f>
        <v>68.846000000000004</v>
      </c>
      <c r="J13" s="696">
        <f>IFERROR(I13*100/H13,0)</f>
        <v>10.012550956446871</v>
      </c>
    </row>
    <row r="14" spans="1:10" s="42" customFormat="1" x14ac:dyDescent="0.25">
      <c r="A14" s="686" t="s">
        <v>292</v>
      </c>
      <c r="B14" s="321">
        <v>224.40799999999999</v>
      </c>
      <c r="C14" s="616">
        <v>19.913</v>
      </c>
      <c r="D14" s="608">
        <f t="shared" si="1"/>
        <v>8.8735695697123091</v>
      </c>
      <c r="E14" s="607">
        <v>324.32600000000002</v>
      </c>
      <c r="F14" s="616">
        <v>34.732999999999997</v>
      </c>
      <c r="G14" s="608">
        <f t="shared" si="4"/>
        <v>10.709286335353932</v>
      </c>
      <c r="H14" s="616">
        <f>+'Pr 3'!C5</f>
        <v>384.50700000000006</v>
      </c>
      <c r="I14" s="616">
        <f>+'Pr 3'!G5</f>
        <v>38.364999999999995</v>
      </c>
      <c r="J14" s="667">
        <f t="shared" si="5"/>
        <v>9.9777117191624569</v>
      </c>
    </row>
    <row r="15" spans="1:10" s="42" customFormat="1" ht="15" customHeight="1" x14ac:dyDescent="0.25">
      <c r="A15" s="687" t="s">
        <v>293</v>
      </c>
      <c r="B15" s="688">
        <v>228.958</v>
      </c>
      <c r="C15" s="689">
        <v>21.547000000000001</v>
      </c>
      <c r="D15" s="690">
        <f t="shared" si="1"/>
        <v>9.4108963215961019</v>
      </c>
      <c r="E15" s="691">
        <v>223.47800000000001</v>
      </c>
      <c r="F15" s="689">
        <v>27.367999999999999</v>
      </c>
      <c r="G15" s="690">
        <f t="shared" si="4"/>
        <v>12.246395618360642</v>
      </c>
      <c r="H15" s="689">
        <f>+'Pr 3'!C27</f>
        <v>303.09000000000003</v>
      </c>
      <c r="I15" s="689">
        <f>+'Pr 3'!G27</f>
        <v>30.481000000000002</v>
      </c>
      <c r="J15" s="697">
        <f t="shared" si="5"/>
        <v>10.056748820482365</v>
      </c>
    </row>
    <row r="16" spans="1:10" s="42" customFormat="1" x14ac:dyDescent="0.25">
      <c r="A16" s="694" t="s">
        <v>289</v>
      </c>
      <c r="B16" s="598">
        <f>+B17+B18</f>
        <v>379.72899999999998</v>
      </c>
      <c r="C16" s="671">
        <f>+C17+C18</f>
        <v>294.95100000000002</v>
      </c>
      <c r="D16" s="672">
        <f>IFERROR(C16*100/B16,0)</f>
        <v>77.674078092534415</v>
      </c>
      <c r="E16" s="674">
        <f>+E17+E18</f>
        <v>287.483</v>
      </c>
      <c r="F16" s="671">
        <f>+F17+F18</f>
        <v>232.227</v>
      </c>
      <c r="G16" s="672">
        <f>IFERROR(F16*100/E16,0)</f>
        <v>80.779385215821463</v>
      </c>
      <c r="H16" s="671">
        <f>+H17+H18</f>
        <v>258.58199999999999</v>
      </c>
      <c r="I16" s="671">
        <f>+I17+I18</f>
        <v>210.37600000000003</v>
      </c>
      <c r="J16" s="695">
        <f>IFERROR(I16*100/H16,0)</f>
        <v>81.357557757307177</v>
      </c>
    </row>
    <row r="17" spans="1:10" s="42" customFormat="1" ht="15" customHeight="1" x14ac:dyDescent="0.25">
      <c r="A17" s="320" t="s">
        <v>292</v>
      </c>
      <c r="B17" s="321">
        <v>209.708</v>
      </c>
      <c r="C17" s="616">
        <v>162.40199999999999</v>
      </c>
      <c r="D17" s="608">
        <f t="shared" si="1"/>
        <v>77.441966925439175</v>
      </c>
      <c r="E17" s="607">
        <v>159.738</v>
      </c>
      <c r="F17" s="616">
        <v>123.301</v>
      </c>
      <c r="G17" s="608">
        <f t="shared" si="4"/>
        <v>77.189522843656491</v>
      </c>
      <c r="H17" s="616">
        <f>+'Pr 3'!D5</f>
        <v>136.22800000000001</v>
      </c>
      <c r="I17" s="322">
        <f>+'Pr 3'!H5</f>
        <v>106.55300000000001</v>
      </c>
      <c r="J17" s="667">
        <f t="shared" si="5"/>
        <v>78.216666177291017</v>
      </c>
    </row>
    <row r="18" spans="1:10" ht="15" customHeight="1" thickBot="1" x14ac:dyDescent="0.3">
      <c r="A18" s="325" t="s">
        <v>293</v>
      </c>
      <c r="B18" s="326">
        <v>170.02099999999999</v>
      </c>
      <c r="C18" s="327">
        <v>132.54900000000001</v>
      </c>
      <c r="D18" s="610">
        <f t="shared" si="1"/>
        <v>77.960369601402192</v>
      </c>
      <c r="E18" s="609">
        <v>127.745</v>
      </c>
      <c r="F18" s="327">
        <v>108.926</v>
      </c>
      <c r="G18" s="610">
        <f t="shared" si="4"/>
        <v>85.2683079572586</v>
      </c>
      <c r="H18" s="327">
        <f>+'Pr 3'!D27</f>
        <v>122.354</v>
      </c>
      <c r="I18" s="327">
        <f>+'Pr 3'!H27</f>
        <v>103.82300000000001</v>
      </c>
      <c r="J18" s="328">
        <f t="shared" si="5"/>
        <v>84.854602219788489</v>
      </c>
    </row>
    <row r="20" spans="1:10" x14ac:dyDescent="0.25">
      <c r="A20" s="35"/>
      <c r="B20" s="45"/>
      <c r="C20" s="45"/>
      <c r="D20" s="45"/>
      <c r="E20" s="45"/>
      <c r="F20" s="45"/>
      <c r="G20" s="45"/>
      <c r="H20" s="45"/>
      <c r="I20" s="45"/>
      <c r="J20" s="45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I21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0.7109375" style="342" customWidth="1"/>
    <col min="2" max="9" width="7.140625" style="4" customWidth="1"/>
    <col min="10" max="16384" width="9.140625" style="4"/>
  </cols>
  <sheetData>
    <row r="1" spans="1:9" ht="15" hidden="1" x14ac:dyDescent="0.2">
      <c r="B1" s="40"/>
      <c r="C1" s="40"/>
      <c r="D1" s="40"/>
    </row>
    <row r="3" spans="1:9" ht="15" customHeight="1" x14ac:dyDescent="0.2">
      <c r="A3" s="702" t="s">
        <v>346</v>
      </c>
      <c r="B3" s="346"/>
      <c r="C3" s="346"/>
      <c r="D3" s="346"/>
      <c r="E3" s="346"/>
      <c r="F3" s="702"/>
      <c r="G3" s="702"/>
      <c r="H3" s="702"/>
      <c r="I3" s="80" t="s">
        <v>3</v>
      </c>
    </row>
    <row r="4" spans="1:9" ht="15" customHeight="1" x14ac:dyDescent="0.2">
      <c r="A4" s="845" t="s">
        <v>184</v>
      </c>
      <c r="B4" s="849" t="s">
        <v>532</v>
      </c>
      <c r="C4" s="850"/>
      <c r="D4" s="850"/>
      <c r="E4" s="851"/>
      <c r="F4" s="849" t="s">
        <v>533</v>
      </c>
      <c r="G4" s="850"/>
      <c r="H4" s="850"/>
      <c r="I4" s="850"/>
    </row>
    <row r="5" spans="1:9" ht="20.25" customHeight="1" x14ac:dyDescent="0.2">
      <c r="A5" s="845"/>
      <c r="B5" s="847" t="s">
        <v>45</v>
      </c>
      <c r="C5" s="848"/>
      <c r="D5" s="848" t="s">
        <v>187</v>
      </c>
      <c r="E5" s="852"/>
      <c r="F5" s="847" t="s">
        <v>45</v>
      </c>
      <c r="G5" s="848"/>
      <c r="H5" s="848" t="s">
        <v>187</v>
      </c>
      <c r="I5" s="848"/>
    </row>
    <row r="6" spans="1:9" ht="15" customHeight="1" x14ac:dyDescent="0.2">
      <c r="A6" s="846"/>
      <c r="B6" s="343" t="s">
        <v>185</v>
      </c>
      <c r="C6" s="344" t="s">
        <v>186</v>
      </c>
      <c r="D6" s="344" t="s">
        <v>185</v>
      </c>
      <c r="E6" s="345" t="s">
        <v>186</v>
      </c>
      <c r="F6" s="343" t="s">
        <v>185</v>
      </c>
      <c r="G6" s="344" t="s">
        <v>186</v>
      </c>
      <c r="H6" s="344" t="s">
        <v>185</v>
      </c>
      <c r="I6" s="344" t="s">
        <v>186</v>
      </c>
    </row>
    <row r="7" spans="1:9" ht="14.1" customHeight="1" x14ac:dyDescent="0.2">
      <c r="A7" s="336" t="s">
        <v>438</v>
      </c>
      <c r="B7" s="644">
        <v>3.4333</v>
      </c>
      <c r="C7" s="645">
        <v>4.1273</v>
      </c>
      <c r="D7" s="645">
        <v>3.1171000000000002</v>
      </c>
      <c r="E7" s="646">
        <v>3.7818999999999998</v>
      </c>
      <c r="F7" s="644">
        <v>3.6480999999999999</v>
      </c>
      <c r="G7" s="645">
        <v>4.3403</v>
      </c>
      <c r="H7" s="645">
        <v>2.5863999999999998</v>
      </c>
      <c r="I7" s="645">
        <v>3.0367999999999999</v>
      </c>
    </row>
    <row r="8" spans="1:9" ht="14.1" customHeight="1" x14ac:dyDescent="0.2">
      <c r="A8" s="337" t="s">
        <v>439</v>
      </c>
      <c r="B8" s="638">
        <v>3.9866999999999999</v>
      </c>
      <c r="C8" s="639">
        <v>4.9832000000000001</v>
      </c>
      <c r="D8" s="639"/>
      <c r="E8" s="640"/>
      <c r="F8" s="638">
        <v>3.1263000000000001</v>
      </c>
      <c r="G8" s="639">
        <v>3.2867000000000002</v>
      </c>
      <c r="H8" s="639"/>
      <c r="I8" s="639"/>
    </row>
    <row r="9" spans="1:9" ht="14.1" customHeight="1" x14ac:dyDescent="0.2">
      <c r="A9" s="337" t="s">
        <v>440</v>
      </c>
      <c r="B9" s="638">
        <v>3.1515</v>
      </c>
      <c r="C9" s="639">
        <v>3.6495000000000002</v>
      </c>
      <c r="D9" s="639">
        <v>2.9796999999999998</v>
      </c>
      <c r="E9" s="640">
        <v>3.4171</v>
      </c>
      <c r="F9" s="638">
        <v>3.3344</v>
      </c>
      <c r="G9" s="639">
        <v>3.8500999999999999</v>
      </c>
      <c r="H9" s="639">
        <v>2.4796999999999998</v>
      </c>
      <c r="I9" s="639">
        <v>2.7713000000000001</v>
      </c>
    </row>
    <row r="10" spans="1:9" ht="14.1" customHeight="1" x14ac:dyDescent="0.2">
      <c r="A10" s="337" t="s">
        <v>523</v>
      </c>
      <c r="B10" s="638">
        <v>3.3391999999999999</v>
      </c>
      <c r="C10" s="639">
        <v>4.1611000000000002</v>
      </c>
      <c r="D10" s="639"/>
      <c r="E10" s="640"/>
      <c r="F10" s="638">
        <v>3.5428000000000002</v>
      </c>
      <c r="G10" s="639">
        <v>5.8193000000000001</v>
      </c>
      <c r="H10" s="639"/>
      <c r="I10" s="639"/>
    </row>
    <row r="11" spans="1:9" ht="14.1" customHeight="1" x14ac:dyDescent="0.2">
      <c r="A11" s="337" t="s">
        <v>441</v>
      </c>
      <c r="B11" s="638">
        <v>8.7690999999999999</v>
      </c>
      <c r="C11" s="639">
        <v>13.167899999999999</v>
      </c>
      <c r="D11" s="639">
        <v>8.9718</v>
      </c>
      <c r="E11" s="640">
        <v>19.6631</v>
      </c>
      <c r="F11" s="638">
        <v>8.3950999999999993</v>
      </c>
      <c r="G11" s="639">
        <v>11.666</v>
      </c>
      <c r="H11" s="639">
        <v>7.8064</v>
      </c>
      <c r="I11" s="639">
        <v>16.276</v>
      </c>
    </row>
    <row r="12" spans="1:9" ht="14.1" customHeight="1" x14ac:dyDescent="0.2">
      <c r="A12" s="338" t="s">
        <v>442</v>
      </c>
      <c r="B12" s="641">
        <v>3.7206999999999999</v>
      </c>
      <c r="C12" s="642">
        <v>4.3032000000000004</v>
      </c>
      <c r="D12" s="642">
        <v>7.75</v>
      </c>
      <c r="E12" s="643">
        <v>9.0649999999999995</v>
      </c>
      <c r="F12" s="641">
        <v>11.260199999999999</v>
      </c>
      <c r="G12" s="642">
        <v>16.827500000000001</v>
      </c>
      <c r="H12" s="642">
        <v>7.75</v>
      </c>
      <c r="I12" s="642">
        <v>9.0500000000000007</v>
      </c>
    </row>
    <row r="13" spans="1:9" ht="14.1" customHeight="1" x14ac:dyDescent="0.2">
      <c r="A13" s="339" t="s">
        <v>443</v>
      </c>
      <c r="B13" s="644">
        <v>5.1734</v>
      </c>
      <c r="C13" s="645">
        <v>6.141</v>
      </c>
      <c r="D13" s="645">
        <v>5.0217999999999998</v>
      </c>
      <c r="E13" s="646">
        <v>6.1257000000000001</v>
      </c>
      <c r="F13" s="644">
        <v>5.3475000000000001</v>
      </c>
      <c r="G13" s="645">
        <v>6.3979999999999997</v>
      </c>
      <c r="H13" s="645">
        <v>5.1939000000000002</v>
      </c>
      <c r="I13" s="645">
        <v>6.3000999999999996</v>
      </c>
    </row>
    <row r="14" spans="1:9" ht="14.1" customHeight="1" x14ac:dyDescent="0.2">
      <c r="A14" s="337" t="s">
        <v>439</v>
      </c>
      <c r="B14" s="638">
        <v>3.8212999999999999</v>
      </c>
      <c r="C14" s="639">
        <v>4.0686</v>
      </c>
      <c r="D14" s="639">
        <v>3.11</v>
      </c>
      <c r="E14" s="640">
        <v>3.26</v>
      </c>
      <c r="F14" s="638">
        <v>3.4721000000000002</v>
      </c>
      <c r="G14" s="639">
        <v>3.5680000000000001</v>
      </c>
      <c r="H14" s="639"/>
      <c r="I14" s="639"/>
    </row>
    <row r="15" spans="1:9" ht="14.1" customHeight="1" x14ac:dyDescent="0.2">
      <c r="A15" s="337" t="s">
        <v>440</v>
      </c>
      <c r="B15" s="638">
        <v>4.7213000000000003</v>
      </c>
      <c r="C15" s="639">
        <v>5.1467999999999998</v>
      </c>
      <c r="D15" s="639">
        <v>3.8673999999999999</v>
      </c>
      <c r="E15" s="640">
        <v>4.1083999999999996</v>
      </c>
      <c r="F15" s="638">
        <v>5.0037000000000003</v>
      </c>
      <c r="G15" s="639">
        <v>5.4298999999999999</v>
      </c>
      <c r="H15" s="639">
        <v>4.0423999999999998</v>
      </c>
      <c r="I15" s="639">
        <v>4.3239000000000001</v>
      </c>
    </row>
    <row r="16" spans="1:9" ht="14.1" customHeight="1" x14ac:dyDescent="0.2">
      <c r="A16" s="337" t="s">
        <v>523</v>
      </c>
      <c r="B16" s="638">
        <v>4.1074999999999999</v>
      </c>
      <c r="C16" s="639">
        <v>4.4001000000000001</v>
      </c>
      <c r="D16" s="639"/>
      <c r="E16" s="640"/>
      <c r="F16" s="638">
        <v>3.6995</v>
      </c>
      <c r="G16" s="639">
        <v>3.9944999999999999</v>
      </c>
      <c r="H16" s="639"/>
      <c r="I16" s="639"/>
    </row>
    <row r="17" spans="1:9" ht="14.1" customHeight="1" x14ac:dyDescent="0.2">
      <c r="A17" s="337" t="s">
        <v>441</v>
      </c>
      <c r="B17" s="638">
        <v>5.8441000000000001</v>
      </c>
      <c r="C17" s="639">
        <v>7.4363000000000001</v>
      </c>
      <c r="D17" s="639">
        <v>5.9170999999999996</v>
      </c>
      <c r="E17" s="640">
        <v>7.6881000000000004</v>
      </c>
      <c r="F17" s="638">
        <v>5.7515999999999998</v>
      </c>
      <c r="G17" s="639">
        <v>7.2641999999999998</v>
      </c>
      <c r="H17" s="639">
        <v>5.7854000000000001</v>
      </c>
      <c r="I17" s="639">
        <v>7.3151999999999999</v>
      </c>
    </row>
    <row r="18" spans="1:9" ht="14.1" customHeight="1" x14ac:dyDescent="0.2">
      <c r="A18" s="340" t="s">
        <v>444</v>
      </c>
      <c r="B18" s="638">
        <v>3.7166000000000001</v>
      </c>
      <c r="C18" s="639">
        <v>4.2039999999999997</v>
      </c>
      <c r="D18" s="639">
        <v>3.6166999999999998</v>
      </c>
      <c r="E18" s="640">
        <v>4.5553999999999997</v>
      </c>
      <c r="F18" s="638">
        <v>3.7742</v>
      </c>
      <c r="G18" s="639">
        <v>4.2363999999999997</v>
      </c>
      <c r="H18" s="639">
        <v>3.4756</v>
      </c>
      <c r="I18" s="639">
        <v>4.4275000000000002</v>
      </c>
    </row>
    <row r="19" spans="1:9" ht="14.1" customHeight="1" x14ac:dyDescent="0.2">
      <c r="A19" s="338" t="s">
        <v>442</v>
      </c>
      <c r="B19" s="641">
        <v>3.3203999999999998</v>
      </c>
      <c r="C19" s="642">
        <v>3.742</v>
      </c>
      <c r="D19" s="642">
        <v>3.94</v>
      </c>
      <c r="E19" s="643">
        <v>4.03</v>
      </c>
      <c r="F19" s="641">
        <v>3.9670999999999998</v>
      </c>
      <c r="G19" s="642">
        <v>4.3391000000000002</v>
      </c>
      <c r="H19" s="642"/>
      <c r="I19" s="642"/>
    </row>
    <row r="20" spans="1:9" ht="14.1" customHeight="1" thickBot="1" x14ac:dyDescent="0.25">
      <c r="A20" s="341" t="s">
        <v>445</v>
      </c>
      <c r="B20" s="647">
        <v>4.6597999999999997</v>
      </c>
      <c r="C20" s="648">
        <v>5.5465999999999998</v>
      </c>
      <c r="D20" s="648">
        <v>4.5876000000000001</v>
      </c>
      <c r="E20" s="649">
        <v>5.5914000000000001</v>
      </c>
      <c r="F20" s="647">
        <v>4.8499999999999996</v>
      </c>
      <c r="G20" s="648">
        <v>5.7957000000000001</v>
      </c>
      <c r="H20" s="648">
        <v>4.5172999999999996</v>
      </c>
      <c r="I20" s="648">
        <v>5.4532999999999996</v>
      </c>
    </row>
    <row r="21" spans="1:9" ht="15" x14ac:dyDescent="0.25">
      <c r="A21" s="843" t="s">
        <v>216</v>
      </c>
      <c r="B21" s="844"/>
      <c r="C21" s="844"/>
      <c r="D21" s="844"/>
      <c r="E21" s="844"/>
      <c r="F21" s="844"/>
      <c r="G21" s="844"/>
      <c r="H21" s="844"/>
      <c r="I21" s="844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I10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5.85546875" style="4" customWidth="1"/>
    <col min="2" max="9" width="6.5703125" style="4" customWidth="1"/>
    <col min="10" max="16384" width="9.140625" style="4"/>
  </cols>
  <sheetData>
    <row r="1" spans="1:9" ht="14.45" hidden="1" customHeight="1" x14ac:dyDescent="0.2">
      <c r="B1" s="40"/>
      <c r="C1" s="40"/>
      <c r="D1" s="40"/>
    </row>
    <row r="3" spans="1:9" ht="15" customHeight="1" x14ac:dyDescent="0.2">
      <c r="A3" s="702" t="s">
        <v>347</v>
      </c>
      <c r="B3" s="702"/>
      <c r="C3" s="702"/>
      <c r="D3" s="702"/>
      <c r="E3" s="702"/>
      <c r="F3" s="702"/>
      <c r="G3" s="702"/>
      <c r="H3" s="702"/>
      <c r="I3" s="80" t="s">
        <v>3</v>
      </c>
    </row>
    <row r="4" spans="1:9" ht="15" customHeight="1" x14ac:dyDescent="0.2">
      <c r="A4" s="859" t="s">
        <v>184</v>
      </c>
      <c r="B4" s="854" t="s">
        <v>532</v>
      </c>
      <c r="C4" s="855"/>
      <c r="D4" s="855"/>
      <c r="E4" s="856"/>
      <c r="F4" s="855" t="s">
        <v>533</v>
      </c>
      <c r="G4" s="855"/>
      <c r="H4" s="855"/>
      <c r="I4" s="855"/>
    </row>
    <row r="5" spans="1:9" ht="21.75" customHeight="1" x14ac:dyDescent="0.2">
      <c r="A5" s="860"/>
      <c r="B5" s="862" t="s">
        <v>45</v>
      </c>
      <c r="C5" s="857"/>
      <c r="D5" s="857" t="s">
        <v>187</v>
      </c>
      <c r="E5" s="858"/>
      <c r="F5" s="857" t="s">
        <v>45</v>
      </c>
      <c r="G5" s="857"/>
      <c r="H5" s="857" t="s">
        <v>187</v>
      </c>
      <c r="I5" s="857"/>
    </row>
    <row r="6" spans="1:9" ht="12" customHeight="1" x14ac:dyDescent="0.2">
      <c r="A6" s="861"/>
      <c r="B6" s="343" t="s">
        <v>185</v>
      </c>
      <c r="C6" s="344" t="s">
        <v>186</v>
      </c>
      <c r="D6" s="344" t="s">
        <v>185</v>
      </c>
      <c r="E6" s="345" t="s">
        <v>186</v>
      </c>
      <c r="F6" s="344" t="s">
        <v>185</v>
      </c>
      <c r="G6" s="344" t="s">
        <v>186</v>
      </c>
      <c r="H6" s="344" t="s">
        <v>185</v>
      </c>
      <c r="I6" s="344" t="s">
        <v>186</v>
      </c>
    </row>
    <row r="7" spans="1:9" ht="14.1" customHeight="1" x14ac:dyDescent="0.2">
      <c r="A7" s="370" t="s">
        <v>526</v>
      </c>
      <c r="B7" s="650">
        <v>0.34760000000000002</v>
      </c>
      <c r="C7" s="651">
        <v>0.34799999999999998</v>
      </c>
      <c r="D7" s="651">
        <v>0.74319999999999997</v>
      </c>
      <c r="E7" s="652">
        <v>0.74650000000000005</v>
      </c>
      <c r="F7" s="651">
        <v>0.31740000000000002</v>
      </c>
      <c r="G7" s="651">
        <v>0.31759999999999999</v>
      </c>
      <c r="H7" s="651">
        <v>0.52390000000000003</v>
      </c>
      <c r="I7" s="651">
        <v>0.52349999999999997</v>
      </c>
    </row>
    <row r="8" spans="1:9" ht="14.1" customHeight="1" x14ac:dyDescent="0.2">
      <c r="A8" s="370" t="s">
        <v>525</v>
      </c>
      <c r="B8" s="650">
        <v>1.3811</v>
      </c>
      <c r="C8" s="651">
        <v>1.391</v>
      </c>
      <c r="D8" s="651">
        <v>1.2641</v>
      </c>
      <c r="E8" s="652">
        <v>1.2645</v>
      </c>
      <c r="F8" s="651">
        <v>1.4056999999999999</v>
      </c>
      <c r="G8" s="651">
        <v>1.4167000000000001</v>
      </c>
      <c r="H8" s="651">
        <v>0.99950000000000006</v>
      </c>
      <c r="I8" s="651">
        <v>0.99970000000000003</v>
      </c>
    </row>
    <row r="9" spans="1:9" ht="14.1" customHeight="1" thickBot="1" x14ac:dyDescent="0.25">
      <c r="A9" s="371" t="s">
        <v>524</v>
      </c>
      <c r="B9" s="653">
        <v>0.93369999999999997</v>
      </c>
      <c r="C9" s="654">
        <v>0.9395</v>
      </c>
      <c r="D9" s="654">
        <v>1.054</v>
      </c>
      <c r="E9" s="655">
        <v>1.0555000000000001</v>
      </c>
      <c r="F9" s="654">
        <v>1.0861000000000001</v>
      </c>
      <c r="G9" s="654">
        <v>1.0939000000000001</v>
      </c>
      <c r="H9" s="654">
        <v>0.92310000000000003</v>
      </c>
      <c r="I9" s="654">
        <v>0.92310000000000003</v>
      </c>
    </row>
    <row r="10" spans="1:9" ht="15" x14ac:dyDescent="0.25">
      <c r="A10" s="853" t="s">
        <v>216</v>
      </c>
      <c r="B10" s="844"/>
      <c r="C10" s="844"/>
      <c r="D10" s="844"/>
      <c r="E10" s="844"/>
      <c r="F10" s="844"/>
      <c r="G10" s="844"/>
      <c r="H10" s="844"/>
      <c r="I10" s="844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I1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2.28515625" style="4" customWidth="1"/>
    <col min="2" max="9" width="7.42578125" style="4" customWidth="1"/>
    <col min="10" max="16384" width="9.140625" style="4"/>
  </cols>
  <sheetData>
    <row r="1" spans="1:9" ht="15" hidden="1" x14ac:dyDescent="0.2">
      <c r="A1" s="218"/>
      <c r="B1" s="28"/>
      <c r="C1" s="28"/>
      <c r="D1" s="28"/>
      <c r="E1" s="28"/>
      <c r="F1" s="28"/>
      <c r="G1" s="28"/>
      <c r="H1" s="28"/>
      <c r="I1" s="218"/>
    </row>
    <row r="3" spans="1:9" ht="15" customHeight="1" x14ac:dyDescent="0.2">
      <c r="A3" s="486" t="s">
        <v>348</v>
      </c>
      <c r="B3" s="486"/>
      <c r="C3" s="486"/>
      <c r="D3" s="486"/>
      <c r="E3" s="486"/>
      <c r="F3" s="486"/>
      <c r="G3" s="486"/>
      <c r="H3" s="65"/>
      <c r="I3" s="80" t="s">
        <v>3</v>
      </c>
    </row>
    <row r="4" spans="1:9" ht="15" customHeight="1" x14ac:dyDescent="0.2">
      <c r="A4" s="859" t="s">
        <v>184</v>
      </c>
      <c r="B4" s="854" t="s">
        <v>532</v>
      </c>
      <c r="C4" s="855"/>
      <c r="D4" s="855"/>
      <c r="E4" s="856"/>
      <c r="F4" s="855" t="s">
        <v>533</v>
      </c>
      <c r="G4" s="855"/>
      <c r="H4" s="855"/>
      <c r="I4" s="855"/>
    </row>
    <row r="5" spans="1:9" ht="24" customHeight="1" x14ac:dyDescent="0.2">
      <c r="A5" s="860"/>
      <c r="B5" s="862" t="s">
        <v>45</v>
      </c>
      <c r="C5" s="857"/>
      <c r="D5" s="857" t="s">
        <v>187</v>
      </c>
      <c r="E5" s="858"/>
      <c r="F5" s="857" t="s">
        <v>45</v>
      </c>
      <c r="G5" s="857"/>
      <c r="H5" s="857" t="s">
        <v>187</v>
      </c>
      <c r="I5" s="857"/>
    </row>
    <row r="6" spans="1:9" ht="12" customHeight="1" x14ac:dyDescent="0.2">
      <c r="A6" s="861"/>
      <c r="B6" s="343" t="s">
        <v>185</v>
      </c>
      <c r="C6" s="344" t="s">
        <v>186</v>
      </c>
      <c r="D6" s="344" t="s">
        <v>185</v>
      </c>
      <c r="E6" s="345" t="s">
        <v>186</v>
      </c>
      <c r="F6" s="344" t="s">
        <v>185</v>
      </c>
      <c r="G6" s="344" t="s">
        <v>186</v>
      </c>
      <c r="H6" s="344" t="s">
        <v>185</v>
      </c>
      <c r="I6" s="344" t="s">
        <v>186</v>
      </c>
    </row>
    <row r="7" spans="1:9" ht="24" x14ac:dyDescent="0.2">
      <c r="A7" s="372" t="s">
        <v>480</v>
      </c>
      <c r="B7" s="656"/>
      <c r="C7" s="657"/>
      <c r="D7" s="657"/>
      <c r="E7" s="658"/>
      <c r="F7" s="657"/>
      <c r="G7" s="657"/>
      <c r="H7" s="657"/>
      <c r="I7" s="657"/>
    </row>
    <row r="8" spans="1:9" ht="14.1" customHeight="1" x14ac:dyDescent="0.2">
      <c r="A8" s="373" t="s">
        <v>512</v>
      </c>
      <c r="B8" s="650">
        <v>7.1651999999999996</v>
      </c>
      <c r="C8" s="651">
        <v>8.3127999999999993</v>
      </c>
      <c r="D8" s="651">
        <v>6.3459000000000003</v>
      </c>
      <c r="E8" s="652">
        <v>6.6090999999999998</v>
      </c>
      <c r="F8" s="651">
        <v>7.2797000000000001</v>
      </c>
      <c r="G8" s="651">
        <v>8.4118999999999993</v>
      </c>
      <c r="H8" s="651">
        <v>6.4687999999999999</v>
      </c>
      <c r="I8" s="651">
        <v>6.7445000000000004</v>
      </c>
    </row>
    <row r="9" spans="1:9" ht="14.1" customHeight="1" x14ac:dyDescent="0.2">
      <c r="A9" s="374" t="s">
        <v>527</v>
      </c>
      <c r="B9" s="659">
        <v>13.321300000000001</v>
      </c>
      <c r="C9" s="660">
        <v>15.9267</v>
      </c>
      <c r="D9" s="660">
        <v>13.8992</v>
      </c>
      <c r="E9" s="661">
        <v>14.5114</v>
      </c>
      <c r="F9" s="660">
        <v>13.2765</v>
      </c>
      <c r="G9" s="660">
        <v>15.877800000000001</v>
      </c>
      <c r="H9" s="660">
        <v>13.864699999999999</v>
      </c>
      <c r="I9" s="660">
        <v>14.466799999999999</v>
      </c>
    </row>
    <row r="10" spans="1:9" ht="14.1" customHeight="1" x14ac:dyDescent="0.2">
      <c r="A10" s="372" t="s">
        <v>481</v>
      </c>
      <c r="B10" s="656"/>
      <c r="C10" s="657"/>
      <c r="D10" s="657"/>
      <c r="E10" s="658"/>
      <c r="F10" s="657"/>
      <c r="G10" s="657"/>
      <c r="H10" s="657"/>
      <c r="I10" s="657"/>
    </row>
    <row r="11" spans="1:9" ht="14.1" customHeight="1" x14ac:dyDescent="0.2">
      <c r="A11" s="373" t="s">
        <v>512</v>
      </c>
      <c r="B11" s="650">
        <v>4.1099999999999998E-2</v>
      </c>
      <c r="C11" s="651">
        <v>4.1099999999999998E-2</v>
      </c>
      <c r="D11" s="651">
        <v>1.5599999999999999E-2</v>
      </c>
      <c r="E11" s="652">
        <v>1.5599999999999999E-2</v>
      </c>
      <c r="F11" s="651">
        <v>3.6400000000000002E-2</v>
      </c>
      <c r="G11" s="651">
        <v>9.9599999999999994E-2</v>
      </c>
      <c r="H11" s="651">
        <v>1.2999999999999999E-2</v>
      </c>
      <c r="I11" s="651">
        <v>1.2999999999999999E-2</v>
      </c>
    </row>
    <row r="12" spans="1:9" ht="14.1" customHeight="1" thickBot="1" x14ac:dyDescent="0.25">
      <c r="A12" s="375" t="s">
        <v>528</v>
      </c>
      <c r="B12" s="662">
        <v>2.3900000000000001E-2</v>
      </c>
      <c r="C12" s="663">
        <v>2.3900000000000001E-2</v>
      </c>
      <c r="D12" s="663">
        <v>2.1499999999999998E-2</v>
      </c>
      <c r="E12" s="664">
        <v>2.1499999999999998E-2</v>
      </c>
      <c r="F12" s="663">
        <v>1.84E-2</v>
      </c>
      <c r="G12" s="663">
        <v>0.16009999999999999</v>
      </c>
      <c r="H12" s="663">
        <v>2.06E-2</v>
      </c>
      <c r="I12" s="663">
        <v>2.06E-2</v>
      </c>
    </row>
    <row r="13" spans="1:9" ht="15" x14ac:dyDescent="0.25">
      <c r="A13" s="376" t="s">
        <v>216</v>
      </c>
      <c r="B13" s="377"/>
      <c r="C13" s="377"/>
      <c r="D13" s="377"/>
      <c r="E13" s="377"/>
      <c r="F13" s="377"/>
      <c r="G13" s="377"/>
      <c r="H13" s="377"/>
      <c r="I13" s="377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/>
  <dimension ref="A1:H28"/>
  <sheetViews>
    <sheetView zoomScaleNormal="100" workbookViewId="0">
      <selection activeCell="A2" sqref="A2"/>
    </sheetView>
  </sheetViews>
  <sheetFormatPr defaultRowHeight="15" x14ac:dyDescent="0.25"/>
  <cols>
    <col min="1" max="1" width="6.5703125" style="49" customWidth="1"/>
    <col min="2" max="2" width="49.7109375" style="49" customWidth="1"/>
    <col min="3" max="4" width="7.5703125" style="49" customWidth="1"/>
    <col min="5" max="6" width="8.5703125" style="49" customWidth="1"/>
    <col min="7" max="7" width="9.140625" style="64" hidden="1" customWidth="1"/>
  </cols>
  <sheetData>
    <row r="1" spans="1:7" s="49" customFormat="1" x14ac:dyDescent="0.25">
      <c r="G1" s="64"/>
    </row>
    <row r="2" spans="1:7" s="14" customFormat="1" x14ac:dyDescent="0.25">
      <c r="A2" s="65" t="s">
        <v>7</v>
      </c>
      <c r="B2" s="65"/>
      <c r="C2" s="65"/>
      <c r="D2" s="65"/>
      <c r="E2" s="65"/>
      <c r="F2" s="418" t="s">
        <v>400</v>
      </c>
      <c r="G2" s="64"/>
    </row>
    <row r="3" spans="1:7" ht="15.75" customHeight="1" x14ac:dyDescent="0.25">
      <c r="A3" s="863" t="s">
        <v>12</v>
      </c>
      <c r="B3" s="864"/>
      <c r="C3" s="329" t="s">
        <v>531</v>
      </c>
      <c r="D3" s="330" t="s">
        <v>532</v>
      </c>
      <c r="E3" s="330" t="s">
        <v>533</v>
      </c>
      <c r="F3" s="379" t="s">
        <v>11</v>
      </c>
    </row>
    <row r="4" spans="1:7" ht="14.1" customHeight="1" x14ac:dyDescent="0.25">
      <c r="A4" s="380" t="s">
        <v>4</v>
      </c>
      <c r="B4" s="381" t="s">
        <v>66</v>
      </c>
      <c r="C4" s="382">
        <v>976.42200000000003</v>
      </c>
      <c r="D4" s="383">
        <v>1018.213</v>
      </c>
      <c r="E4" s="383">
        <v>1034.674</v>
      </c>
      <c r="F4" s="384">
        <f t="shared" ref="F4:F13" si="0">IF(D4&gt;0,E4*100/D4,"-")</f>
        <v>101.61665584705754</v>
      </c>
      <c r="G4" s="64" t="s">
        <v>305</v>
      </c>
    </row>
    <row r="5" spans="1:7" ht="14.1" customHeight="1" x14ac:dyDescent="0.25">
      <c r="A5" s="385" t="s">
        <v>67</v>
      </c>
      <c r="B5" s="386" t="s">
        <v>68</v>
      </c>
      <c r="C5" s="387">
        <v>899.63699999999994</v>
      </c>
      <c r="D5" s="388">
        <v>922.92600000000004</v>
      </c>
      <c r="E5" s="388">
        <v>957.16899999999998</v>
      </c>
      <c r="F5" s="389">
        <f t="shared" si="0"/>
        <v>103.71026496165456</v>
      </c>
      <c r="G5" s="64" t="s">
        <v>306</v>
      </c>
    </row>
    <row r="6" spans="1:7" ht="14.1" customHeight="1" x14ac:dyDescent="0.25">
      <c r="A6" s="380" t="s">
        <v>104</v>
      </c>
      <c r="B6" s="381" t="s">
        <v>100</v>
      </c>
      <c r="C6" s="382">
        <v>898.09100000000001</v>
      </c>
      <c r="D6" s="383">
        <v>916.92600000000004</v>
      </c>
      <c r="E6" s="383">
        <v>951.16899999999998</v>
      </c>
      <c r="F6" s="384">
        <f t="shared" si="0"/>
        <v>103.73454346370372</v>
      </c>
      <c r="G6" s="64" t="s">
        <v>307</v>
      </c>
    </row>
    <row r="7" spans="1:7" ht="14.1" customHeight="1" x14ac:dyDescent="0.25">
      <c r="A7" s="390" t="s">
        <v>69</v>
      </c>
      <c r="B7" s="391" t="s">
        <v>70</v>
      </c>
      <c r="C7" s="392">
        <v>637.96100000000001</v>
      </c>
      <c r="D7" s="393">
        <v>652.96100000000001</v>
      </c>
      <c r="E7" s="393">
        <v>677.96100000000001</v>
      </c>
      <c r="F7" s="394">
        <f t="shared" si="0"/>
        <v>103.82871258773496</v>
      </c>
      <c r="G7" s="64" t="s">
        <v>308</v>
      </c>
    </row>
    <row r="8" spans="1:7" ht="14.1" customHeight="1" x14ac:dyDescent="0.25">
      <c r="A8" s="390" t="s">
        <v>71</v>
      </c>
      <c r="B8" s="391" t="s">
        <v>72</v>
      </c>
      <c r="C8" s="392">
        <v>25.141999999999999</v>
      </c>
      <c r="D8" s="393">
        <v>25.141999999999999</v>
      </c>
      <c r="E8" s="393">
        <v>17.071999999999999</v>
      </c>
      <c r="F8" s="394">
        <f t="shared" si="0"/>
        <v>67.902314851642657</v>
      </c>
      <c r="G8" s="64" t="s">
        <v>309</v>
      </c>
    </row>
    <row r="9" spans="1:7" s="49" customFormat="1" ht="38.25" customHeight="1" x14ac:dyDescent="0.25">
      <c r="A9" s="390" t="s">
        <v>73</v>
      </c>
      <c r="B9" s="391" t="s">
        <v>311</v>
      </c>
      <c r="C9" s="392">
        <v>0</v>
      </c>
      <c r="D9" s="393">
        <v>0</v>
      </c>
      <c r="E9" s="393">
        <v>0</v>
      </c>
      <c r="F9" s="384" t="str">
        <f t="shared" si="0"/>
        <v>-</v>
      </c>
      <c r="G9" s="64" t="s">
        <v>310</v>
      </c>
    </row>
    <row r="10" spans="1:7" ht="14.1" customHeight="1" x14ac:dyDescent="0.25">
      <c r="A10" s="390" t="s">
        <v>75</v>
      </c>
      <c r="B10" s="391" t="s">
        <v>74</v>
      </c>
      <c r="C10" s="392">
        <v>53.771999999999998</v>
      </c>
      <c r="D10" s="393">
        <v>108.137</v>
      </c>
      <c r="E10" s="393">
        <v>125.607</v>
      </c>
      <c r="F10" s="394">
        <f t="shared" si="0"/>
        <v>116.15543246067489</v>
      </c>
      <c r="G10" s="64" t="s">
        <v>312</v>
      </c>
    </row>
    <row r="11" spans="1:7" ht="14.1" customHeight="1" x14ac:dyDescent="0.25">
      <c r="A11" s="390" t="s">
        <v>77</v>
      </c>
      <c r="B11" s="391" t="s">
        <v>76</v>
      </c>
      <c r="C11" s="392">
        <v>0</v>
      </c>
      <c r="D11" s="393">
        <v>0</v>
      </c>
      <c r="E11" s="393">
        <v>0</v>
      </c>
      <c r="F11" s="384" t="str">
        <f t="shared" si="0"/>
        <v>-</v>
      </c>
      <c r="G11" s="64" t="s">
        <v>313</v>
      </c>
    </row>
    <row r="12" spans="1:7" ht="14.1" customHeight="1" x14ac:dyDescent="0.25">
      <c r="A12" s="390" t="s">
        <v>79</v>
      </c>
      <c r="B12" s="391" t="s">
        <v>78</v>
      </c>
      <c r="C12" s="392">
        <v>15.643000000000001</v>
      </c>
      <c r="D12" s="393">
        <v>16.286999999999999</v>
      </c>
      <c r="E12" s="393">
        <v>15.192</v>
      </c>
      <c r="F12" s="394">
        <f t="shared" si="0"/>
        <v>93.276846564744901</v>
      </c>
      <c r="G12" s="64" t="s">
        <v>314</v>
      </c>
    </row>
    <row r="13" spans="1:7" ht="14.1" customHeight="1" x14ac:dyDescent="0.25">
      <c r="A13" s="390" t="s">
        <v>81</v>
      </c>
      <c r="B13" s="391" t="s">
        <v>80</v>
      </c>
      <c r="C13" s="392">
        <v>207.03100000000001</v>
      </c>
      <c r="D13" s="393">
        <v>146.70400000000001</v>
      </c>
      <c r="E13" s="393">
        <v>145.47499999999999</v>
      </c>
      <c r="F13" s="394">
        <f t="shared" si="0"/>
        <v>99.162258697786015</v>
      </c>
      <c r="G13" s="64" t="s">
        <v>315</v>
      </c>
    </row>
    <row r="14" spans="1:7" ht="14.1" customHeight="1" x14ac:dyDescent="0.25">
      <c r="A14" s="390" t="s">
        <v>82</v>
      </c>
      <c r="B14" s="391" t="s">
        <v>101</v>
      </c>
      <c r="C14" s="392">
        <v>-26.538</v>
      </c>
      <c r="D14" s="393">
        <v>-28.841000000000001</v>
      </c>
      <c r="E14" s="393">
        <v>-27.07</v>
      </c>
      <c r="F14" s="394">
        <f>IF(D14&lt;&gt;0,E14*100/D14,"-")</f>
        <v>93.859436219271174</v>
      </c>
      <c r="G14" s="64" t="s">
        <v>316</v>
      </c>
    </row>
    <row r="15" spans="1:7" ht="39.75" customHeight="1" x14ac:dyDescent="0.25">
      <c r="A15" s="390" t="s">
        <v>83</v>
      </c>
      <c r="B15" s="391" t="s">
        <v>218</v>
      </c>
      <c r="C15" s="392">
        <v>-1</v>
      </c>
      <c r="D15" s="393">
        <v>-1.1479999999999999</v>
      </c>
      <c r="E15" s="393">
        <v>-1.0760000000000001</v>
      </c>
      <c r="F15" s="394">
        <f>IF(D15&lt;&gt;0,E15*100/D15,"-")</f>
        <v>93.728222996515697</v>
      </c>
      <c r="G15" s="64" t="s">
        <v>318</v>
      </c>
    </row>
    <row r="16" spans="1:7" ht="24" x14ac:dyDescent="0.25">
      <c r="A16" s="390" t="s">
        <v>217</v>
      </c>
      <c r="B16" s="391" t="s">
        <v>84</v>
      </c>
      <c r="C16" s="392">
        <v>-13.906000000000001</v>
      </c>
      <c r="D16" s="393">
        <v>0</v>
      </c>
      <c r="E16" s="393">
        <v>0</v>
      </c>
      <c r="F16" s="394" t="str">
        <f>IF(D16&gt;0,E16*100/D16,"-")</f>
        <v>-</v>
      </c>
      <c r="G16" s="64" t="s">
        <v>319</v>
      </c>
    </row>
    <row r="17" spans="1:8" s="14" customFormat="1" ht="24.75" customHeight="1" x14ac:dyDescent="0.25">
      <c r="A17" s="390" t="s">
        <v>317</v>
      </c>
      <c r="B17" s="391" t="s">
        <v>219</v>
      </c>
      <c r="C17" s="392">
        <v>-1.6E-2</v>
      </c>
      <c r="D17" s="393">
        <v>-2.3180000000000001</v>
      </c>
      <c r="E17" s="393">
        <v>-1.992</v>
      </c>
      <c r="F17" s="394">
        <f>IF(D17&lt;&gt;0,E17*100/D17,"-")</f>
        <v>85.936151855047441</v>
      </c>
      <c r="G17" s="64" t="s">
        <v>320</v>
      </c>
    </row>
    <row r="18" spans="1:8" ht="14.1" customHeight="1" x14ac:dyDescent="0.25">
      <c r="A18" s="380" t="s">
        <v>105</v>
      </c>
      <c r="B18" s="381" t="s">
        <v>102</v>
      </c>
      <c r="C18" s="382">
        <v>1.546</v>
      </c>
      <c r="D18" s="383">
        <v>6</v>
      </c>
      <c r="E18" s="383">
        <v>6</v>
      </c>
      <c r="F18" s="384">
        <f t="shared" ref="F18:F26" si="1">IF(D18&gt;0,E18*100/D18,"-")</f>
        <v>100</v>
      </c>
      <c r="G18" s="64" t="s">
        <v>321</v>
      </c>
    </row>
    <row r="19" spans="1:8" ht="14.1" customHeight="1" x14ac:dyDescent="0.25">
      <c r="A19" s="390" t="s">
        <v>85</v>
      </c>
      <c r="B19" s="391" t="s">
        <v>86</v>
      </c>
      <c r="C19" s="392">
        <v>6</v>
      </c>
      <c r="D19" s="393">
        <v>6</v>
      </c>
      <c r="E19" s="393">
        <v>6</v>
      </c>
      <c r="F19" s="394">
        <f t="shared" si="1"/>
        <v>100</v>
      </c>
      <c r="G19" s="64" t="s">
        <v>322</v>
      </c>
    </row>
    <row r="20" spans="1:8" ht="24" x14ac:dyDescent="0.25">
      <c r="A20" s="390" t="s">
        <v>87</v>
      </c>
      <c r="B20" s="391" t="s">
        <v>88</v>
      </c>
      <c r="C20" s="392">
        <v>-18.36</v>
      </c>
      <c r="D20" s="393">
        <v>0</v>
      </c>
      <c r="E20" s="393">
        <v>0</v>
      </c>
      <c r="F20" s="394" t="str">
        <f t="shared" si="1"/>
        <v>-</v>
      </c>
      <c r="G20" s="64" t="s">
        <v>323</v>
      </c>
    </row>
    <row r="21" spans="1:8" ht="36" x14ac:dyDescent="0.25">
      <c r="A21" s="395" t="s">
        <v>89</v>
      </c>
      <c r="B21" s="396" t="s">
        <v>90</v>
      </c>
      <c r="C21" s="397">
        <v>13.906000000000001</v>
      </c>
      <c r="D21" s="398">
        <v>0</v>
      </c>
      <c r="E21" s="398">
        <v>0</v>
      </c>
      <c r="F21" s="399" t="str">
        <f t="shared" si="1"/>
        <v>-</v>
      </c>
      <c r="G21" s="64" t="s">
        <v>324</v>
      </c>
    </row>
    <row r="22" spans="1:8" ht="14.1" customHeight="1" x14ac:dyDescent="0.25">
      <c r="A22" s="380" t="s">
        <v>91</v>
      </c>
      <c r="B22" s="381" t="s">
        <v>103</v>
      </c>
      <c r="C22" s="382">
        <v>76.784000000000006</v>
      </c>
      <c r="D22" s="383">
        <v>95.287999999999997</v>
      </c>
      <c r="E22" s="383">
        <v>77.504000000000005</v>
      </c>
      <c r="F22" s="384">
        <f t="shared" si="1"/>
        <v>81.336579632272702</v>
      </c>
      <c r="G22" s="64" t="s">
        <v>325</v>
      </c>
    </row>
    <row r="23" spans="1:8" ht="24" x14ac:dyDescent="0.25">
      <c r="A23" s="390" t="s">
        <v>92</v>
      </c>
      <c r="B23" s="391" t="s">
        <v>93</v>
      </c>
      <c r="C23" s="392">
        <v>49.265999999999998</v>
      </c>
      <c r="D23" s="393">
        <v>47.28</v>
      </c>
      <c r="E23" s="393">
        <v>45.738999999999997</v>
      </c>
      <c r="F23" s="394">
        <f t="shared" si="1"/>
        <v>96.7406937394247</v>
      </c>
      <c r="G23" s="64" t="s">
        <v>326</v>
      </c>
    </row>
    <row r="24" spans="1:8" ht="24" x14ac:dyDescent="0.25">
      <c r="A24" s="390" t="s">
        <v>94</v>
      </c>
      <c r="B24" s="391" t="s">
        <v>95</v>
      </c>
      <c r="C24" s="392">
        <v>55.344999999999999</v>
      </c>
      <c r="D24" s="393">
        <v>48.008000000000003</v>
      </c>
      <c r="E24" s="393">
        <v>31.765999999999998</v>
      </c>
      <c r="F24" s="394">
        <f t="shared" si="1"/>
        <v>66.168138643559402</v>
      </c>
      <c r="G24" s="64" t="s">
        <v>327</v>
      </c>
    </row>
    <row r="25" spans="1:8" ht="24.75" customHeight="1" x14ac:dyDescent="0.25">
      <c r="A25" s="390" t="s">
        <v>96</v>
      </c>
      <c r="B25" s="391" t="s">
        <v>97</v>
      </c>
      <c r="C25" s="392">
        <v>18.36</v>
      </c>
      <c r="D25" s="393">
        <v>0</v>
      </c>
      <c r="E25" s="393">
        <v>0</v>
      </c>
      <c r="F25" s="394" t="str">
        <f t="shared" si="1"/>
        <v>-</v>
      </c>
      <c r="G25" s="64" t="s">
        <v>328</v>
      </c>
    </row>
    <row r="26" spans="1:8" ht="24.75" thickBot="1" x14ac:dyDescent="0.3">
      <c r="A26" s="400" t="s">
        <v>98</v>
      </c>
      <c r="B26" s="401" t="s">
        <v>99</v>
      </c>
      <c r="C26" s="402">
        <v>-46.186</v>
      </c>
      <c r="D26" s="403">
        <v>0</v>
      </c>
      <c r="E26" s="403">
        <v>0</v>
      </c>
      <c r="F26" s="404" t="str">
        <f t="shared" si="1"/>
        <v>-</v>
      </c>
      <c r="G26" s="64" t="s">
        <v>329</v>
      </c>
    </row>
    <row r="27" spans="1:8" s="14" customFormat="1" x14ac:dyDescent="0.25">
      <c r="A27" s="49"/>
      <c r="B27" s="49"/>
      <c r="C27" s="49"/>
      <c r="D27" s="49"/>
      <c r="E27" s="49"/>
      <c r="F27" s="49"/>
      <c r="G27" s="4"/>
      <c r="H27" s="49"/>
    </row>
    <row r="28" spans="1:8" s="14" customFormat="1" x14ac:dyDescent="0.25">
      <c r="A28" s="49"/>
      <c r="B28" s="49"/>
      <c r="C28" s="49"/>
      <c r="D28" s="49"/>
      <c r="E28" s="49"/>
      <c r="F28" s="49"/>
      <c r="G28" s="4"/>
      <c r="H28" s="49"/>
    </row>
  </sheetData>
  <customSheetViews>
    <customSheetView guid="{5507C501-9942-4310-9E0E-987180BD1180}">
      <selection sqref="A1:D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1">
    <mergeCell ref="A3:B3"/>
  </mergeCells>
  <pageMargins left="0.7" right="0.7" top="0.75" bottom="0.75" header="0.3" footer="0.3"/>
  <pageSetup paperSize="9" scale="79" orientation="portrait" verticalDpi="0" r:id="rId3"/>
  <ignoredErrors>
    <ignoredError sqref="F16:F17" formula="1"/>
    <ignoredError sqref="G4:G26" numberStoredAsText="1"/>
  </ignoredErrors>
  <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49" customWidth="1"/>
    <col min="2" max="5" width="11.5703125" style="49" customWidth="1"/>
  </cols>
  <sheetData>
    <row r="1" spans="1:5" s="49" customFormat="1" hidden="1" x14ac:dyDescent="0.25">
      <c r="B1" s="40"/>
      <c r="C1" s="40"/>
      <c r="D1" s="40"/>
    </row>
    <row r="2" spans="1:5" s="14" customFormat="1" x14ac:dyDescent="0.25">
      <c r="A2" s="405"/>
      <c r="B2" s="49"/>
      <c r="C2" s="49"/>
      <c r="D2" s="49"/>
      <c r="E2" s="49"/>
    </row>
    <row r="3" spans="1:5" x14ac:dyDescent="0.25">
      <c r="A3" s="65" t="s">
        <v>349</v>
      </c>
      <c r="B3" s="65"/>
      <c r="C3" s="65"/>
      <c r="D3" s="65"/>
      <c r="E3" s="418" t="s">
        <v>400</v>
      </c>
    </row>
    <row r="4" spans="1:5" x14ac:dyDescent="0.25">
      <c r="A4" s="335" t="s">
        <v>12</v>
      </c>
      <c r="B4" s="406" t="s">
        <v>531</v>
      </c>
      <c r="C4" s="407" t="s">
        <v>532</v>
      </c>
      <c r="D4" s="407" t="s">
        <v>533</v>
      </c>
      <c r="E4" s="379" t="s">
        <v>11</v>
      </c>
    </row>
    <row r="5" spans="1:5" ht="14.1" customHeight="1" x14ac:dyDescent="0.25">
      <c r="A5" s="408" t="s">
        <v>106</v>
      </c>
      <c r="B5" s="409">
        <f>SUM(B6:B8)</f>
        <v>5333.1419999999998</v>
      </c>
      <c r="C5" s="410">
        <f>SUM(C6:C8)</f>
        <v>5267.1559999999999</v>
      </c>
      <c r="D5" s="410">
        <f>SUM(D6:D8)</f>
        <v>5200.7569999999996</v>
      </c>
      <c r="E5" s="411">
        <f>IF(C5&gt;0,D5*100/C5,"-")</f>
        <v>98.739376619944423</v>
      </c>
    </row>
    <row r="6" spans="1:5" ht="14.1" customHeight="1" x14ac:dyDescent="0.25">
      <c r="A6" s="412" t="s">
        <v>482</v>
      </c>
      <c r="B6" s="285">
        <v>4545.0069999999996</v>
      </c>
      <c r="C6" s="413">
        <v>4525.4719999999998</v>
      </c>
      <c r="D6" s="413">
        <v>4632.7349999999997</v>
      </c>
      <c r="E6" s="266">
        <f t="shared" ref="E6:E8" si="0">IF(C6&gt;0,D6*100/C6,"-")</f>
        <v>102.37020580394707</v>
      </c>
    </row>
    <row r="7" spans="1:5" ht="14.1" customHeight="1" x14ac:dyDescent="0.25">
      <c r="A7" s="412" t="s">
        <v>483</v>
      </c>
      <c r="B7" s="285">
        <v>144.04400000000001</v>
      </c>
      <c r="C7" s="413">
        <v>94.861000000000004</v>
      </c>
      <c r="D7" s="413">
        <v>136.96799999999999</v>
      </c>
      <c r="E7" s="266">
        <f t="shared" si="0"/>
        <v>144.38810470056185</v>
      </c>
    </row>
    <row r="8" spans="1:5" ht="14.1" customHeight="1" thickBot="1" x14ac:dyDescent="0.3">
      <c r="A8" s="414" t="s">
        <v>484</v>
      </c>
      <c r="B8" s="415">
        <v>644.09100000000001</v>
      </c>
      <c r="C8" s="416">
        <v>646.82299999999998</v>
      </c>
      <c r="D8" s="416">
        <v>431.05399999999997</v>
      </c>
      <c r="E8" s="417">
        <f t="shared" si="0"/>
        <v>66.641724242953629</v>
      </c>
    </row>
  </sheetData>
  <customSheetViews>
    <customSheetView guid="{5507C501-9942-4310-9E0E-987180BD1180}"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E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23"/>
  <sheetViews>
    <sheetView topLeftCell="B1" zoomScaleNormal="100" workbookViewId="0">
      <selection activeCell="B2" sqref="B2"/>
    </sheetView>
  </sheetViews>
  <sheetFormatPr defaultColWidth="8.7109375" defaultRowHeight="15" x14ac:dyDescent="0.25"/>
  <cols>
    <col min="1" max="1" width="5.28515625" style="49" hidden="1" customWidth="1"/>
    <col min="2" max="2" width="37.42578125" style="49" customWidth="1"/>
    <col min="3" max="6" width="12.5703125" style="49" customWidth="1"/>
    <col min="7" max="9" width="8.7109375" style="49"/>
    <col min="10" max="10" width="11.28515625" style="49" customWidth="1"/>
    <col min="11" max="16384" width="8.7109375" style="49"/>
  </cols>
  <sheetData>
    <row r="1" spans="2:6" x14ac:dyDescent="0.25">
      <c r="F1" s="665" t="s">
        <v>533</v>
      </c>
    </row>
    <row r="2" spans="2:6" x14ac:dyDescent="0.25">
      <c r="B2" s="65" t="s">
        <v>330</v>
      </c>
      <c r="C2" s="66"/>
      <c r="D2" s="66"/>
      <c r="E2" s="66"/>
      <c r="F2" s="66"/>
    </row>
    <row r="3" spans="2:6" ht="33.75" x14ac:dyDescent="0.25">
      <c r="B3" s="67" t="s">
        <v>407</v>
      </c>
      <c r="C3" s="68" t="s">
        <v>133</v>
      </c>
      <c r="D3" s="68" t="s">
        <v>395</v>
      </c>
      <c r="E3" s="68" t="s">
        <v>396</v>
      </c>
      <c r="F3" s="68" t="s">
        <v>29</v>
      </c>
    </row>
    <row r="4" spans="2:6" x14ac:dyDescent="0.25">
      <c r="B4" s="69" t="s">
        <v>393</v>
      </c>
      <c r="C4" s="70"/>
      <c r="D4" s="70"/>
      <c r="E4" s="70"/>
      <c r="F4" s="70"/>
    </row>
    <row r="5" spans="2:6" ht="14.1" customHeight="1" x14ac:dyDescent="0.25">
      <c r="B5" s="71" t="s">
        <v>534</v>
      </c>
      <c r="C5" s="72">
        <v>15</v>
      </c>
      <c r="D5" s="72">
        <v>51</v>
      </c>
      <c r="E5" s="72">
        <v>2113</v>
      </c>
      <c r="F5" s="72">
        <v>108</v>
      </c>
    </row>
    <row r="6" spans="2:6" ht="14.1" customHeight="1" x14ac:dyDescent="0.25">
      <c r="B6" s="71" t="s">
        <v>535</v>
      </c>
      <c r="C6" s="72">
        <v>9</v>
      </c>
      <c r="D6" s="72">
        <v>38</v>
      </c>
      <c r="E6" s="72">
        <v>2313</v>
      </c>
      <c r="F6" s="72">
        <v>72</v>
      </c>
    </row>
    <row r="7" spans="2:6" ht="14.1" customHeight="1" x14ac:dyDescent="0.25">
      <c r="B7" s="71" t="s">
        <v>536</v>
      </c>
      <c r="C7" s="72">
        <v>36</v>
      </c>
      <c r="D7" s="72"/>
      <c r="E7" s="72">
        <v>8</v>
      </c>
      <c r="F7" s="72">
        <v>57</v>
      </c>
    </row>
    <row r="8" spans="2:6" ht="14.1" customHeight="1" x14ac:dyDescent="0.25">
      <c r="B8" s="71" t="s">
        <v>537</v>
      </c>
      <c r="C8" s="72">
        <v>12</v>
      </c>
      <c r="D8" s="72">
        <v>15</v>
      </c>
      <c r="E8" s="72">
        <v>1287</v>
      </c>
      <c r="F8" s="72">
        <v>44</v>
      </c>
    </row>
    <row r="9" spans="2:6" ht="14.1" customHeight="1" x14ac:dyDescent="0.25">
      <c r="B9" s="71" t="s">
        <v>538</v>
      </c>
      <c r="C9" s="72">
        <v>29</v>
      </c>
      <c r="D9" s="72"/>
      <c r="E9" s="72">
        <v>0</v>
      </c>
      <c r="F9" s="72">
        <v>51</v>
      </c>
    </row>
    <row r="10" spans="2:6" ht="14.1" customHeight="1" x14ac:dyDescent="0.25">
      <c r="B10" s="71" t="s">
        <v>539</v>
      </c>
      <c r="C10" s="72">
        <v>12</v>
      </c>
      <c r="D10" s="72">
        <v>17</v>
      </c>
      <c r="E10" s="72">
        <v>0</v>
      </c>
      <c r="F10" s="72">
        <v>28</v>
      </c>
    </row>
    <row r="11" spans="2:6" ht="14.1" customHeight="1" x14ac:dyDescent="0.25">
      <c r="B11" s="71" t="s">
        <v>540</v>
      </c>
      <c r="C11" s="72">
        <v>10</v>
      </c>
      <c r="D11" s="72">
        <v>9</v>
      </c>
      <c r="E11" s="72">
        <v>13</v>
      </c>
      <c r="F11" s="72">
        <v>25</v>
      </c>
    </row>
    <row r="12" spans="2:6" ht="14.1" customHeight="1" x14ac:dyDescent="0.25">
      <c r="B12" s="71" t="s">
        <v>541</v>
      </c>
      <c r="C12" s="72">
        <v>6</v>
      </c>
      <c r="D12" s="72">
        <v>22</v>
      </c>
      <c r="E12" s="72">
        <v>0</v>
      </c>
      <c r="F12" s="72">
        <v>10</v>
      </c>
    </row>
    <row r="13" spans="2:6" ht="15" customHeight="1" x14ac:dyDescent="0.25">
      <c r="B13" s="73" t="s">
        <v>397</v>
      </c>
      <c r="C13" s="74">
        <f>SUM(C5:C12)</f>
        <v>129</v>
      </c>
      <c r="D13" s="74">
        <f>SUM(D5:D12)</f>
        <v>152</v>
      </c>
      <c r="E13" s="74">
        <f t="shared" ref="E13:F13" si="0">SUM(E5:E12)</f>
        <v>5734</v>
      </c>
      <c r="F13" s="74">
        <f t="shared" si="0"/>
        <v>395</v>
      </c>
    </row>
    <row r="14" spans="2:6" x14ac:dyDescent="0.25">
      <c r="B14" s="75" t="s">
        <v>394</v>
      </c>
      <c r="C14" s="76"/>
      <c r="D14" s="76"/>
      <c r="E14" s="76"/>
      <c r="F14" s="76"/>
    </row>
    <row r="15" spans="2:6" ht="14.1" customHeight="1" x14ac:dyDescent="0.25">
      <c r="B15" s="71" t="s">
        <v>542</v>
      </c>
      <c r="C15" s="72">
        <v>4</v>
      </c>
      <c r="D15" s="72"/>
      <c r="E15" s="72">
        <v>1102</v>
      </c>
      <c r="F15" s="72">
        <v>12</v>
      </c>
    </row>
    <row r="16" spans="2:6" ht="14.1" customHeight="1" x14ac:dyDescent="0.25">
      <c r="B16" s="71" t="s">
        <v>543</v>
      </c>
      <c r="C16" s="72">
        <v>1</v>
      </c>
      <c r="D16" s="72">
        <v>1</v>
      </c>
      <c r="E16" s="72">
        <v>0</v>
      </c>
      <c r="F16" s="72">
        <v>7</v>
      </c>
    </row>
    <row r="17" spans="2:6" ht="14.1" customHeight="1" x14ac:dyDescent="0.25">
      <c r="B17" s="71" t="s">
        <v>544</v>
      </c>
      <c r="C17" s="72">
        <v>8</v>
      </c>
      <c r="D17" s="72">
        <v>19</v>
      </c>
      <c r="E17" s="72">
        <v>2028</v>
      </c>
      <c r="F17" s="72">
        <v>65</v>
      </c>
    </row>
    <row r="18" spans="2:6" ht="14.1" customHeight="1" x14ac:dyDescent="0.25">
      <c r="B18" s="71" t="s">
        <v>545</v>
      </c>
      <c r="C18" s="72">
        <v>3</v>
      </c>
      <c r="D18" s="72">
        <v>3</v>
      </c>
      <c r="E18" s="72">
        <v>9</v>
      </c>
      <c r="F18" s="72">
        <v>8</v>
      </c>
    </row>
    <row r="19" spans="2:6" ht="14.1" customHeight="1" x14ac:dyDescent="0.25">
      <c r="B19" s="71" t="s">
        <v>546</v>
      </c>
      <c r="C19" s="72">
        <v>6</v>
      </c>
      <c r="D19" s="72"/>
      <c r="E19" s="72">
        <v>0</v>
      </c>
      <c r="F19" s="72">
        <v>13</v>
      </c>
    </row>
    <row r="20" spans="2:6" ht="14.1" customHeight="1" x14ac:dyDescent="0.25">
      <c r="B20" s="71" t="s">
        <v>547</v>
      </c>
      <c r="C20" s="72">
        <v>3</v>
      </c>
      <c r="D20" s="72"/>
      <c r="E20" s="72">
        <v>19</v>
      </c>
      <c r="F20" s="72">
        <v>7</v>
      </c>
    </row>
    <row r="21" spans="2:6" ht="14.1" customHeight="1" x14ac:dyDescent="0.25">
      <c r="B21" s="71" t="s">
        <v>548</v>
      </c>
      <c r="C21" s="72">
        <v>3</v>
      </c>
      <c r="D21" s="72"/>
      <c r="E21" s="72">
        <v>0</v>
      </c>
      <c r="F21" s="72">
        <v>5</v>
      </c>
    </row>
    <row r="22" spans="2:6" x14ac:dyDescent="0.25">
      <c r="B22" s="77" t="s">
        <v>398</v>
      </c>
      <c r="C22" s="74">
        <f>SUM(C15:C21)</f>
        <v>28</v>
      </c>
      <c r="D22" s="74">
        <f t="shared" ref="D22:F22" si="1">SUM(D15:D21)</f>
        <v>23</v>
      </c>
      <c r="E22" s="74">
        <f t="shared" si="1"/>
        <v>3158</v>
      </c>
      <c r="F22" s="74">
        <f t="shared" si="1"/>
        <v>117</v>
      </c>
    </row>
    <row r="23" spans="2:6" ht="15.75" thickBot="1" x14ac:dyDescent="0.3">
      <c r="B23" s="78" t="s">
        <v>399</v>
      </c>
      <c r="C23" s="79">
        <f>C13+C22</f>
        <v>157</v>
      </c>
      <c r="D23" s="79">
        <f>D13+D22</f>
        <v>175</v>
      </c>
      <c r="E23" s="79">
        <f>E13+E22</f>
        <v>8892</v>
      </c>
      <c r="F23" s="79">
        <f>F13+F22</f>
        <v>512</v>
      </c>
    </row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5"/>
  <sheetViews>
    <sheetView topLeftCell="B1" zoomScaleNormal="100" workbookViewId="0">
      <selection activeCell="B2" sqref="B2:C2"/>
    </sheetView>
  </sheetViews>
  <sheetFormatPr defaultRowHeight="15" x14ac:dyDescent="0.25"/>
  <cols>
    <col min="1" max="1" width="4.85546875" hidden="1" customWidth="1"/>
    <col min="2" max="2" width="42" style="49" customWidth="1"/>
    <col min="3" max="5" width="10.5703125" style="49" customWidth="1"/>
    <col min="6" max="6" width="13.42578125" style="49" customWidth="1"/>
  </cols>
  <sheetData>
    <row r="1" spans="1:6" s="14" customFormat="1" x14ac:dyDescent="0.25">
      <c r="A1" s="49"/>
      <c r="B1" s="28"/>
      <c r="C1" s="222"/>
      <c r="D1" s="49"/>
      <c r="E1" s="49"/>
      <c r="F1" s="49"/>
    </row>
    <row r="2" spans="1:6" ht="15" customHeight="1" x14ac:dyDescent="0.25">
      <c r="A2" s="49"/>
      <c r="B2" s="815" t="s">
        <v>350</v>
      </c>
      <c r="C2" s="865"/>
      <c r="D2" s="65"/>
      <c r="E2" s="319"/>
      <c r="F2" s="418" t="s">
        <v>400</v>
      </c>
    </row>
    <row r="3" spans="1:6" ht="15" customHeight="1" x14ac:dyDescent="0.25">
      <c r="A3" s="49"/>
      <c r="B3" s="335" t="s">
        <v>12</v>
      </c>
      <c r="C3" s="419" t="s">
        <v>531</v>
      </c>
      <c r="D3" s="420" t="s">
        <v>532</v>
      </c>
      <c r="E3" s="420" t="s">
        <v>533</v>
      </c>
      <c r="F3" s="379" t="s">
        <v>11</v>
      </c>
    </row>
    <row r="4" spans="1:6" ht="14.1" customHeight="1" x14ac:dyDescent="0.25">
      <c r="A4" s="49"/>
      <c r="B4" s="421" t="s">
        <v>106</v>
      </c>
      <c r="C4" s="422">
        <f>'Tab 27'!B5</f>
        <v>5333.1419999999998</v>
      </c>
      <c r="D4" s="423">
        <f>'Tab 27'!C5</f>
        <v>5267.1559999999999</v>
      </c>
      <c r="E4" s="423">
        <f>'Tab 27'!D5</f>
        <v>5200.7569999999996</v>
      </c>
      <c r="F4" s="424">
        <f>IF(D4&gt;0,E4*100/D4,"-")</f>
        <v>98.739376619944423</v>
      </c>
    </row>
    <row r="5" spans="1:6" ht="14.1" customHeight="1" x14ac:dyDescent="0.25">
      <c r="A5" s="49"/>
      <c r="B5" s="412" t="s">
        <v>107</v>
      </c>
      <c r="C5" s="285">
        <v>976.42200000000003</v>
      </c>
      <c r="D5" s="413">
        <v>1018.213</v>
      </c>
      <c r="E5" s="413">
        <v>1034.674</v>
      </c>
      <c r="F5" s="266">
        <f t="shared" ref="F5:F13" si="0">IF(D5&gt;0,E5*100/D5,"-")</f>
        <v>101.61665584705754</v>
      </c>
    </row>
    <row r="6" spans="1:6" ht="14.1" customHeight="1" x14ac:dyDescent="0.25">
      <c r="A6" s="49"/>
      <c r="B6" s="412" t="s">
        <v>108</v>
      </c>
      <c r="C6" s="285">
        <f>C5-ROUND(0.12*C$4,0)</f>
        <v>336.42200000000003</v>
      </c>
      <c r="D6" s="413">
        <f>D5-ROUND(0.12*D$4,0)</f>
        <v>386.21299999999997</v>
      </c>
      <c r="E6" s="413">
        <f>E5-ROUND(0.12*E$4,0)</f>
        <v>410.67399999999998</v>
      </c>
      <c r="F6" s="266">
        <f t="shared" si="0"/>
        <v>106.33355169297771</v>
      </c>
    </row>
    <row r="7" spans="1:6" ht="14.1" customHeight="1" x14ac:dyDescent="0.25">
      <c r="A7" s="49"/>
      <c r="B7" s="425" t="s">
        <v>113</v>
      </c>
      <c r="C7" s="426">
        <f>IF(C$4&lt;&gt;0,ROUND(C5/C$4,4),0)</f>
        <v>0.18310000000000001</v>
      </c>
      <c r="D7" s="427">
        <f>IF(D$4&lt;&gt;0,ROUND(D5/D$4,4),0)</f>
        <v>0.1933</v>
      </c>
      <c r="E7" s="427">
        <f>IF(E$4&lt;&gt;0,ROUND(E5/E$4,4),0)</f>
        <v>0.19889999999999999</v>
      </c>
      <c r="F7" s="428">
        <f t="shared" si="0"/>
        <v>102.89705121572685</v>
      </c>
    </row>
    <row r="8" spans="1:6" ht="14.1" customHeight="1" x14ac:dyDescent="0.25">
      <c r="A8" s="49"/>
      <c r="B8" s="412" t="s">
        <v>109</v>
      </c>
      <c r="C8" s="285">
        <v>899.63699999999994</v>
      </c>
      <c r="D8" s="413">
        <v>922.92600000000004</v>
      </c>
      <c r="E8" s="413">
        <v>957.16899999999998</v>
      </c>
      <c r="F8" s="266">
        <f t="shared" si="0"/>
        <v>103.71026496165456</v>
      </c>
    </row>
    <row r="9" spans="1:6" ht="14.1" customHeight="1" x14ac:dyDescent="0.25">
      <c r="A9" s="49"/>
      <c r="B9" s="412" t="s">
        <v>110</v>
      </c>
      <c r="C9" s="285">
        <f>C8-ROUND(0.09*C$4,0)</f>
        <v>419.63699999999994</v>
      </c>
      <c r="D9" s="413">
        <f>D8-ROUND(0.09*D$4,0)</f>
        <v>448.92600000000004</v>
      </c>
      <c r="E9" s="413">
        <f>E8-ROUND(0.09*E$4,0)</f>
        <v>489.16899999999998</v>
      </c>
      <c r="F9" s="266">
        <f t="shared" si="0"/>
        <v>108.96428364585699</v>
      </c>
    </row>
    <row r="10" spans="1:6" ht="14.1" customHeight="1" x14ac:dyDescent="0.25">
      <c r="A10" s="49"/>
      <c r="B10" s="425" t="s">
        <v>114</v>
      </c>
      <c r="C10" s="426">
        <f>IF(C$4&lt;&gt;0,ROUND(C8/C$4,4),0)</f>
        <v>0.16869999999999999</v>
      </c>
      <c r="D10" s="427">
        <f>IF(D$4&lt;&gt;0,ROUND(D8/D$4,4),0)</f>
        <v>0.17519999999999999</v>
      </c>
      <c r="E10" s="427">
        <f>IF(E$4&lt;&gt;0,ROUND(E8/E$4,4),0)</f>
        <v>0.184</v>
      </c>
      <c r="F10" s="428">
        <f t="shared" si="0"/>
        <v>105.02283105022831</v>
      </c>
    </row>
    <row r="11" spans="1:6" ht="14.1" customHeight="1" x14ac:dyDescent="0.25">
      <c r="A11" s="49"/>
      <c r="B11" s="412" t="s">
        <v>111</v>
      </c>
      <c r="C11" s="285">
        <v>898.09100000000001</v>
      </c>
      <c r="D11" s="413">
        <v>916.92600000000004</v>
      </c>
      <c r="E11" s="413">
        <v>951.16899999999998</v>
      </c>
      <c r="F11" s="266">
        <f t="shared" si="0"/>
        <v>103.73454346370372</v>
      </c>
    </row>
    <row r="12" spans="1:6" ht="14.1" customHeight="1" x14ac:dyDescent="0.25">
      <c r="A12" s="49"/>
      <c r="B12" s="412" t="s">
        <v>112</v>
      </c>
      <c r="C12" s="285">
        <f>C11-ROUND(0.0675*C$4,0)</f>
        <v>538.09100000000001</v>
      </c>
      <c r="D12" s="413">
        <f>D11-ROUND(0.0675*D$4,0)</f>
        <v>560.92600000000004</v>
      </c>
      <c r="E12" s="413">
        <f>E11-ROUND(0.0675*E$4,0)</f>
        <v>600.16899999999998</v>
      </c>
      <c r="F12" s="266">
        <f t="shared" si="0"/>
        <v>106.99611000381512</v>
      </c>
    </row>
    <row r="13" spans="1:6" ht="14.1" customHeight="1" thickBot="1" x14ac:dyDescent="0.3">
      <c r="A13" s="49"/>
      <c r="B13" s="429" t="s">
        <v>115</v>
      </c>
      <c r="C13" s="430">
        <f>IF(C$4&lt;&gt;0,ROUND(C11/C$4,4),0)</f>
        <v>0.16839999999999999</v>
      </c>
      <c r="D13" s="431">
        <f>IF(D$4&lt;&gt;0,ROUND(D11/D$4,4),0)</f>
        <v>0.1741</v>
      </c>
      <c r="E13" s="431">
        <f>IF(E$4&lt;&gt;0,ROUND(E11/E$4,4),0)</f>
        <v>0.18290000000000001</v>
      </c>
      <c r="F13" s="432">
        <f t="shared" si="0"/>
        <v>105.05456634118322</v>
      </c>
    </row>
    <row r="14" spans="1:6" x14ac:dyDescent="0.25">
      <c r="A14" s="49"/>
    </row>
    <row r="15" spans="1:6" s="14" customFormat="1" x14ac:dyDescent="0.25">
      <c r="B15" s="49"/>
      <c r="C15" s="49"/>
      <c r="D15" s="49"/>
      <c r="E15" s="49"/>
      <c r="F15" s="49"/>
    </row>
  </sheetData>
  <customSheetViews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topLeftCell="A2" zoomScaleNormal="100" workbookViewId="0">
      <selection activeCell="A3" sqref="A3:D3"/>
    </sheetView>
  </sheetViews>
  <sheetFormatPr defaultRowHeight="15" x14ac:dyDescent="0.25"/>
  <cols>
    <col min="1" max="1" width="45.5703125" style="49" customWidth="1"/>
    <col min="2" max="4" width="9.5703125" style="49" customWidth="1"/>
    <col min="5" max="5" width="14" style="49" customWidth="1"/>
  </cols>
  <sheetData>
    <row r="1" spans="1:5" s="49" customFormat="1" hidden="1" x14ac:dyDescent="0.25"/>
    <row r="2" spans="1:5" s="14" customFormat="1" x14ac:dyDescent="0.25">
      <c r="A2" s="49"/>
      <c r="B2" s="49"/>
      <c r="C2" s="49"/>
      <c r="D2" s="49"/>
      <c r="E2" s="49"/>
    </row>
    <row r="3" spans="1:5" x14ac:dyDescent="0.25">
      <c r="A3" s="815" t="s">
        <v>351</v>
      </c>
      <c r="B3" s="865"/>
      <c r="C3" s="865"/>
      <c r="D3" s="865"/>
      <c r="E3" s="418" t="s">
        <v>400</v>
      </c>
    </row>
    <row r="4" spans="1:5" x14ac:dyDescent="0.25">
      <c r="A4" s="109" t="s">
        <v>12</v>
      </c>
      <c r="B4" s="329" t="s">
        <v>531</v>
      </c>
      <c r="C4" s="330" t="s">
        <v>532</v>
      </c>
      <c r="D4" s="330" t="s">
        <v>533</v>
      </c>
      <c r="E4" s="379" t="s">
        <v>11</v>
      </c>
    </row>
    <row r="5" spans="1:5" ht="14.1" customHeight="1" x14ac:dyDescent="0.25">
      <c r="A5" s="85" t="s">
        <v>117</v>
      </c>
      <c r="B5" s="162">
        <f>SUM(B6:B9)</f>
        <v>361.36899999999997</v>
      </c>
      <c r="C5" s="185">
        <f t="shared" ref="C5:D5" si="0">SUM(C6:C9)</f>
        <v>403.464</v>
      </c>
      <c r="D5" s="185">
        <f t="shared" si="0"/>
        <v>384.93700000000001</v>
      </c>
      <c r="E5" s="72">
        <f>IF(C5&lt;&gt;0,D5/C5*100,"-")</f>
        <v>95.408016576447963</v>
      </c>
    </row>
    <row r="6" spans="1:5" ht="14.1" customHeight="1" x14ac:dyDescent="0.25">
      <c r="A6" s="378" t="s">
        <v>118</v>
      </c>
      <c r="B6" s="172">
        <v>10.212999999999999</v>
      </c>
      <c r="C6" s="117">
        <v>10.962</v>
      </c>
      <c r="D6" s="117">
        <v>11.996</v>
      </c>
      <c r="E6" s="72">
        <f>IF(C6&lt;&gt;0,D6/C6*100,"-")</f>
        <v>109.43258529465427</v>
      </c>
    </row>
    <row r="7" spans="1:5" ht="14.1" customHeight="1" x14ac:dyDescent="0.25">
      <c r="A7" s="378" t="s">
        <v>120</v>
      </c>
      <c r="B7" s="172">
        <v>119.253</v>
      </c>
      <c r="C7" s="117">
        <v>112.628</v>
      </c>
      <c r="D7" s="117">
        <v>110.985</v>
      </c>
      <c r="E7" s="72">
        <f t="shared" ref="E7:E13" si="1">IF(C7&lt;&gt;0,D7/C7*100,"-")</f>
        <v>98.541215328337543</v>
      </c>
    </row>
    <row r="8" spans="1:5" ht="14.1" customHeight="1" x14ac:dyDescent="0.25">
      <c r="A8" s="378" t="s">
        <v>121</v>
      </c>
      <c r="B8" s="172">
        <v>227.27500000000001</v>
      </c>
      <c r="C8" s="117">
        <v>275.04399999999998</v>
      </c>
      <c r="D8" s="117">
        <v>257.15800000000002</v>
      </c>
      <c r="E8" s="72">
        <f t="shared" si="1"/>
        <v>93.497040473524251</v>
      </c>
    </row>
    <row r="9" spans="1:5" ht="14.1" customHeight="1" x14ac:dyDescent="0.25">
      <c r="A9" s="378" t="s">
        <v>122</v>
      </c>
      <c r="B9" s="172">
        <v>4.6280000000000001</v>
      </c>
      <c r="C9" s="117">
        <v>4.83</v>
      </c>
      <c r="D9" s="117">
        <v>4.798</v>
      </c>
      <c r="E9" s="72">
        <f t="shared" si="1"/>
        <v>99.337474120082817</v>
      </c>
    </row>
    <row r="10" spans="1:5" ht="14.1" customHeight="1" x14ac:dyDescent="0.25">
      <c r="A10" s="378" t="s">
        <v>119</v>
      </c>
      <c r="B10" s="162">
        <v>8297.9069999999992</v>
      </c>
      <c r="C10" s="185">
        <v>8508.5720000000001</v>
      </c>
      <c r="D10" s="185">
        <v>9149.9349999999995</v>
      </c>
      <c r="E10" s="72">
        <f t="shared" si="1"/>
        <v>107.5378453634758</v>
      </c>
    </row>
    <row r="11" spans="1:5" ht="14.1" customHeight="1" x14ac:dyDescent="0.25">
      <c r="A11" s="378" t="s">
        <v>123</v>
      </c>
      <c r="B11" s="172">
        <v>-27.553000000000001</v>
      </c>
      <c r="C11" s="117">
        <v>-32.305999999999997</v>
      </c>
      <c r="D11" s="117">
        <v>-30.138999999999999</v>
      </c>
      <c r="E11" s="72">
        <f t="shared" si="1"/>
        <v>93.292267690212356</v>
      </c>
    </row>
    <row r="12" spans="1:5" ht="14.1" customHeight="1" x14ac:dyDescent="0.25">
      <c r="A12" s="378" t="s">
        <v>124</v>
      </c>
      <c r="B12" s="162">
        <v>8631.723</v>
      </c>
      <c r="C12" s="185">
        <v>8879.73</v>
      </c>
      <c r="D12" s="185">
        <v>9504.7330000000002</v>
      </c>
      <c r="E12" s="164">
        <f t="shared" si="1"/>
        <v>107.03853608161511</v>
      </c>
    </row>
    <row r="13" spans="1:5" ht="14.1" customHeight="1" x14ac:dyDescent="0.25">
      <c r="A13" s="378" t="s">
        <v>125</v>
      </c>
      <c r="B13" s="172">
        <v>899.63699999999994</v>
      </c>
      <c r="C13" s="117">
        <v>922.92600000000004</v>
      </c>
      <c r="D13" s="117">
        <v>957.16899999999998</v>
      </c>
      <c r="E13" s="72">
        <f t="shared" si="1"/>
        <v>103.71026496165456</v>
      </c>
    </row>
    <row r="14" spans="1:5" ht="14.1" customHeight="1" thickBot="1" x14ac:dyDescent="0.3">
      <c r="A14" s="143" t="s">
        <v>126</v>
      </c>
      <c r="B14" s="433">
        <f>IF(B12&lt;&gt;0,B13/B12,0)</f>
        <v>0.10422449839968219</v>
      </c>
      <c r="C14" s="434">
        <f t="shared" ref="C14:D14" si="2">IF(C12&lt;&gt;0,C13/C12,0)</f>
        <v>0.10393626833248309</v>
      </c>
      <c r="D14" s="434">
        <f t="shared" si="2"/>
        <v>0.10070445955714905</v>
      </c>
      <c r="E14" s="145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mergeCells count="1">
    <mergeCell ref="A3:D3"/>
  </mergeCells>
  <pageMargins left="0.7" right="0.7" top="0.75" bottom="0.75" header="0.3" footer="0.3"/>
  <pageSetup orientation="portrait" verticalDpi="0" r:id="rId1"/>
  <ignoredErrors>
    <ignoredError sqref="A6:A9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H6"/>
  <sheetViews>
    <sheetView zoomScaleNormal="100" workbookViewId="0">
      <selection activeCell="A2" sqref="A2"/>
    </sheetView>
  </sheetViews>
  <sheetFormatPr defaultRowHeight="15" x14ac:dyDescent="0.25"/>
  <cols>
    <col min="1" max="1" width="39.42578125" style="49" customWidth="1"/>
    <col min="2" max="5" width="9.140625" style="49" customWidth="1"/>
  </cols>
  <sheetData>
    <row r="1" spans="1:8" s="14" customFormat="1" x14ac:dyDescent="0.25">
      <c r="A1" s="151"/>
      <c r="B1" s="49"/>
      <c r="C1" s="49"/>
      <c r="D1" s="49"/>
      <c r="E1" s="49"/>
    </row>
    <row r="2" spans="1:8" x14ac:dyDescent="0.25">
      <c r="A2" s="217" t="s">
        <v>498</v>
      </c>
      <c r="B2" s="217"/>
      <c r="C2" s="217"/>
      <c r="D2" s="217"/>
      <c r="E2" s="80"/>
      <c r="F2" s="80"/>
      <c r="G2" s="80"/>
      <c r="H2" s="80" t="s">
        <v>400</v>
      </c>
    </row>
    <row r="3" spans="1:8" x14ac:dyDescent="0.25">
      <c r="A3" s="108" t="s">
        <v>12</v>
      </c>
      <c r="B3" s="666" t="s">
        <v>531</v>
      </c>
      <c r="C3" s="666" t="s">
        <v>553</v>
      </c>
      <c r="D3" s="666" t="s">
        <v>549</v>
      </c>
      <c r="E3" s="666" t="s">
        <v>437</v>
      </c>
      <c r="F3" s="666" t="s">
        <v>532</v>
      </c>
      <c r="G3" s="666" t="s">
        <v>554</v>
      </c>
      <c r="H3" s="666" t="s">
        <v>533</v>
      </c>
    </row>
    <row r="4" spans="1:8" x14ac:dyDescent="0.25">
      <c r="A4" s="198" t="s">
        <v>127</v>
      </c>
      <c r="B4" s="458">
        <v>1782.011</v>
      </c>
      <c r="C4" s="458">
        <v>1557.2650000000001</v>
      </c>
      <c r="D4" s="458">
        <v>1705.1980000000001</v>
      </c>
      <c r="E4" s="458">
        <v>1700.481</v>
      </c>
      <c r="F4" s="458">
        <v>1904.528</v>
      </c>
      <c r="G4" s="458">
        <v>1775.4739999999999</v>
      </c>
      <c r="H4" s="458">
        <v>2186.0010000000002</v>
      </c>
    </row>
    <row r="5" spans="1:8" x14ac:dyDescent="0.25">
      <c r="A5" s="378" t="s">
        <v>161</v>
      </c>
      <c r="B5" s="444">
        <v>1024.682</v>
      </c>
      <c r="C5" s="444">
        <v>871.82600000000002</v>
      </c>
      <c r="D5" s="444">
        <v>905.96100000000001</v>
      </c>
      <c r="E5" s="444">
        <v>829.21500000000003</v>
      </c>
      <c r="F5" s="444">
        <v>951.00699999999995</v>
      </c>
      <c r="G5" s="444">
        <v>797.07</v>
      </c>
      <c r="H5" s="444">
        <v>1020.207</v>
      </c>
    </row>
    <row r="6" spans="1:8" ht="15.75" thickBot="1" x14ac:dyDescent="0.3">
      <c r="A6" s="473" t="s">
        <v>128</v>
      </c>
      <c r="B6" s="474">
        <f>IF(B5&lt;&gt;0,B4*100/B5,"-")</f>
        <v>173.90868581667289</v>
      </c>
      <c r="C6" s="474">
        <f>IF(C5&lt;&gt;0,C4*100/C5,"-")</f>
        <v>178.621078059154</v>
      </c>
      <c r="D6" s="474">
        <f t="shared" ref="D6:E6" si="0">IF(D5&lt;&gt;0,D4*100/D5,"-")</f>
        <v>188.21980195615487</v>
      </c>
      <c r="E6" s="474">
        <f t="shared" si="0"/>
        <v>205.07118178035853</v>
      </c>
      <c r="F6" s="474">
        <f t="shared" ref="F6:H6" si="1">IF(F5&lt;&gt;0,F4*100/F5,"-")</f>
        <v>200.26435136649889</v>
      </c>
      <c r="G6" s="474">
        <f t="shared" si="1"/>
        <v>222.75007213920983</v>
      </c>
      <c r="H6" s="474">
        <f t="shared" si="1"/>
        <v>214.27033925468069</v>
      </c>
    </row>
  </sheetData>
  <pageMargins left="0.7" right="0.7" top="0.75" bottom="0.75" header="0.3" footer="0.3"/>
  <pageSetup paperSize="9" scale="89" orientation="portrait" verticalDpi="0" r:id="rId1"/>
  <colBreaks count="1" manualBreakCount="1">
    <brk id="7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W16"/>
  <sheetViews>
    <sheetView topLeftCell="A2" zoomScaleNormal="100" workbookViewId="0">
      <selection activeCell="A3" sqref="A3"/>
    </sheetView>
  </sheetViews>
  <sheetFormatPr defaultColWidth="8.5703125" defaultRowHeight="15" x14ac:dyDescent="0.25"/>
  <cols>
    <col min="1" max="1" width="18.42578125" style="43" customWidth="1"/>
    <col min="2" max="2" width="8.5703125" style="43" customWidth="1"/>
    <col min="3" max="3" width="8" style="43" bestFit="1" customWidth="1"/>
    <col min="4" max="4" width="8.5703125" style="43" bestFit="1" customWidth="1"/>
    <col min="5" max="5" width="8" style="43" bestFit="1" customWidth="1"/>
    <col min="6" max="6" width="8.5703125" style="43" bestFit="1" customWidth="1"/>
    <col min="7" max="7" width="8" style="43" bestFit="1" customWidth="1"/>
    <col min="8" max="8" width="9.42578125" style="43" customWidth="1"/>
    <col min="9" max="9" width="9.140625" style="43" customWidth="1"/>
    <col min="10" max="10" width="10.5703125" style="43" customWidth="1"/>
    <col min="11" max="11" width="8.5703125" style="43" customWidth="1"/>
    <col min="12" max="12" width="14.140625" style="43" customWidth="1"/>
    <col min="13" max="13" width="8.5703125" style="43"/>
    <col min="14" max="14" width="9.85546875" style="43" bestFit="1" customWidth="1"/>
    <col min="15" max="17" width="8.85546875" style="43" bestFit="1" customWidth="1"/>
    <col min="18" max="16384" width="8.5703125" style="43"/>
  </cols>
  <sheetData>
    <row r="1" spans="1:23" hidden="1" x14ac:dyDescent="0.25"/>
    <row r="3" spans="1:23" ht="15" customHeight="1" x14ac:dyDescent="0.25">
      <c r="A3" s="435" t="s">
        <v>446</v>
      </c>
      <c r="B3" s="435"/>
      <c r="C3" s="435"/>
      <c r="D3" s="435"/>
      <c r="E3" s="435"/>
      <c r="F3" s="435"/>
      <c r="G3" s="435"/>
      <c r="H3" s="435"/>
      <c r="I3" s="418" t="s">
        <v>400</v>
      </c>
    </row>
    <row r="4" spans="1:23" ht="15.95" customHeight="1" x14ac:dyDescent="0.25">
      <c r="A4" s="868" t="s">
        <v>294</v>
      </c>
      <c r="B4" s="870" t="s">
        <v>531</v>
      </c>
      <c r="C4" s="871"/>
      <c r="D4" s="872" t="s">
        <v>532</v>
      </c>
      <c r="E4" s="871"/>
      <c r="F4" s="872" t="s">
        <v>533</v>
      </c>
      <c r="G4" s="871"/>
      <c r="H4" s="866" t="s">
        <v>499</v>
      </c>
      <c r="I4" s="866" t="s">
        <v>500</v>
      </c>
    </row>
    <row r="5" spans="1:23" s="350" customFormat="1" ht="14.1" customHeight="1" x14ac:dyDescent="0.25">
      <c r="A5" s="869"/>
      <c r="B5" s="347" t="s">
        <v>2</v>
      </c>
      <c r="C5" s="348" t="s">
        <v>447</v>
      </c>
      <c r="D5" s="349" t="s">
        <v>2</v>
      </c>
      <c r="E5" s="348" t="s">
        <v>3</v>
      </c>
      <c r="F5" s="349" t="s">
        <v>2</v>
      </c>
      <c r="G5" s="348" t="s">
        <v>3</v>
      </c>
      <c r="H5" s="867"/>
      <c r="I5" s="867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350" customFormat="1" ht="14.1" customHeight="1" x14ac:dyDescent="0.25">
      <c r="A6" s="351" t="s">
        <v>448</v>
      </c>
      <c r="B6" s="352">
        <v>2590.808</v>
      </c>
      <c r="C6" s="353">
        <f t="shared" ref="C6:C15" si="0">IFERROR(B6/B$16*100,0)</f>
        <v>40.444519931212682</v>
      </c>
      <c r="D6" s="354">
        <v>3654.55</v>
      </c>
      <c r="E6" s="353">
        <f t="shared" ref="E6:E15" si="1">IFERROR(D6/D$16*100,0)</f>
        <v>56.092546447047411</v>
      </c>
      <c r="F6" s="354">
        <v>4372.1139999999996</v>
      </c>
      <c r="G6" s="353">
        <f t="shared" ref="G6:G15" si="2">IFERROR(F6/F$16*100,0)</f>
        <v>61.666506580527638</v>
      </c>
      <c r="H6" s="355">
        <f>IFERROR(D6/B6*100,0)</f>
        <v>141.05831076637097</v>
      </c>
      <c r="I6" s="355">
        <f>IFERROR(F6/D6*100,0)</f>
        <v>119.63481139948829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350" customFormat="1" ht="14.1" customHeight="1" x14ac:dyDescent="0.25">
      <c r="A7" s="351" t="s">
        <v>449</v>
      </c>
      <c r="B7" s="352">
        <v>84.635000000000005</v>
      </c>
      <c r="C7" s="353">
        <f t="shared" si="0"/>
        <v>1.3212179151747969</v>
      </c>
      <c r="D7" s="354">
        <v>18.952999999999999</v>
      </c>
      <c r="E7" s="353">
        <f t="shared" si="1"/>
        <v>0.29090367700835656</v>
      </c>
      <c r="F7" s="354">
        <v>22.178999999999998</v>
      </c>
      <c r="G7" s="353">
        <f t="shared" si="2"/>
        <v>0.31282383063422464</v>
      </c>
      <c r="H7" s="355">
        <f t="shared" ref="H7:H16" si="3">IFERROR(D7/B7*100,0)</f>
        <v>22.393808707981329</v>
      </c>
      <c r="I7" s="355">
        <f>IFERROR(F7/D7*100,0)</f>
        <v>117.02105207618847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4.1" customHeight="1" x14ac:dyDescent="0.25">
      <c r="A8" s="351" t="s">
        <v>450</v>
      </c>
      <c r="B8" s="352">
        <v>204.065</v>
      </c>
      <c r="C8" s="353">
        <f t="shared" si="0"/>
        <v>3.1856127353948716</v>
      </c>
      <c r="D8" s="354">
        <v>80.135000000000005</v>
      </c>
      <c r="E8" s="353">
        <f t="shared" si="1"/>
        <v>1.2299670847393371</v>
      </c>
      <c r="F8" s="354">
        <v>58.594999999999999</v>
      </c>
      <c r="G8" s="353">
        <f t="shared" si="2"/>
        <v>0.82645350809380014</v>
      </c>
      <c r="H8" s="355">
        <f t="shared" si="3"/>
        <v>39.269350452061843</v>
      </c>
      <c r="I8" s="355">
        <f>IFERROR(F8/D8*100,0)</f>
        <v>73.12035939352343</v>
      </c>
    </row>
    <row r="9" spans="1:23" ht="14.1" customHeight="1" x14ac:dyDescent="0.25">
      <c r="A9" s="351" t="s">
        <v>451</v>
      </c>
      <c r="B9" s="352">
        <v>408.03300000000002</v>
      </c>
      <c r="C9" s="353">
        <f t="shared" si="0"/>
        <v>6.3697112256456299</v>
      </c>
      <c r="D9" s="354">
        <v>455.22199999999998</v>
      </c>
      <c r="E9" s="353">
        <f t="shared" si="1"/>
        <v>6.9870602888776503</v>
      </c>
      <c r="F9" s="354">
        <v>246.96199999999999</v>
      </c>
      <c r="G9" s="353">
        <f t="shared" si="2"/>
        <v>3.4832769223630184</v>
      </c>
      <c r="H9" s="355">
        <f t="shared" si="3"/>
        <v>111.56499596846332</v>
      </c>
      <c r="I9" s="355">
        <f t="shared" ref="I9:I16" si="4">IFERROR(F9/D9*100,0)</f>
        <v>54.250892970902107</v>
      </c>
    </row>
    <row r="10" spans="1:23" ht="14.1" customHeight="1" x14ac:dyDescent="0.25">
      <c r="A10" s="351" t="s">
        <v>452</v>
      </c>
      <c r="B10" s="352">
        <v>559.93299999999999</v>
      </c>
      <c r="C10" s="353">
        <f t="shared" si="0"/>
        <v>8.7409878997763286</v>
      </c>
      <c r="D10" s="354">
        <v>381.11900000000003</v>
      </c>
      <c r="E10" s="353">
        <f t="shared" si="1"/>
        <v>5.8496764880360814</v>
      </c>
      <c r="F10" s="354">
        <v>361.37299999999999</v>
      </c>
      <c r="G10" s="353">
        <f t="shared" si="2"/>
        <v>5.0969875173714625</v>
      </c>
      <c r="H10" s="355">
        <f t="shared" si="3"/>
        <v>68.065107789681988</v>
      </c>
      <c r="I10" s="355">
        <f t="shared" si="4"/>
        <v>94.818941065651401</v>
      </c>
    </row>
    <row r="11" spans="1:23" ht="14.1" customHeight="1" x14ac:dyDescent="0.25">
      <c r="A11" s="351" t="s">
        <v>453</v>
      </c>
      <c r="B11" s="352">
        <v>1362.672</v>
      </c>
      <c r="C11" s="353">
        <f t="shared" si="0"/>
        <v>21.272365556886285</v>
      </c>
      <c r="D11" s="354">
        <v>928.86199999999997</v>
      </c>
      <c r="E11" s="353">
        <f t="shared" si="1"/>
        <v>14.25681270687153</v>
      </c>
      <c r="F11" s="354">
        <v>1007.712</v>
      </c>
      <c r="G11" s="353">
        <f t="shared" si="2"/>
        <v>14.213279589525039</v>
      </c>
      <c r="H11" s="355">
        <f t="shared" si="3"/>
        <v>68.164752779832554</v>
      </c>
      <c r="I11" s="355">
        <f t="shared" si="4"/>
        <v>108.48888209443383</v>
      </c>
    </row>
    <row r="12" spans="1:23" ht="14.1" customHeight="1" x14ac:dyDescent="0.25">
      <c r="A12" s="356" t="s">
        <v>454</v>
      </c>
      <c r="B12" s="357">
        <f>SUM(B6:B11)</f>
        <v>5210.1460000000006</v>
      </c>
      <c r="C12" s="358">
        <f t="shared" si="0"/>
        <v>81.334415264090595</v>
      </c>
      <c r="D12" s="359">
        <f>SUM(D6:D11)</f>
        <v>5518.8410000000003</v>
      </c>
      <c r="E12" s="358">
        <f t="shared" si="1"/>
        <v>84.70696669258038</v>
      </c>
      <c r="F12" s="359">
        <f>SUM(F6:F11)</f>
        <v>6068.9349999999995</v>
      </c>
      <c r="G12" s="358">
        <f t="shared" si="2"/>
        <v>85.599327948515167</v>
      </c>
      <c r="H12" s="360">
        <f t="shared" si="3"/>
        <v>105.92488195148466</v>
      </c>
      <c r="I12" s="360">
        <f t="shared" si="4"/>
        <v>109.96756384175588</v>
      </c>
    </row>
    <row r="13" spans="1:23" ht="14.1" customHeight="1" x14ac:dyDescent="0.25">
      <c r="A13" s="361" t="s">
        <v>455</v>
      </c>
      <c r="B13" s="352">
        <v>1185.414</v>
      </c>
      <c r="C13" s="353">
        <f t="shared" si="0"/>
        <v>18.505230858380301</v>
      </c>
      <c r="D13" s="354">
        <v>972.51199999999994</v>
      </c>
      <c r="E13" s="353">
        <f t="shared" si="1"/>
        <v>14.926782922743149</v>
      </c>
      <c r="F13" s="354">
        <v>994.39</v>
      </c>
      <c r="G13" s="353">
        <f t="shared" si="2"/>
        <v>14.025379365362129</v>
      </c>
      <c r="H13" s="355">
        <f t="shared" si="3"/>
        <v>82.03986117930107</v>
      </c>
      <c r="I13" s="355">
        <f t="shared" si="4"/>
        <v>102.2496380507387</v>
      </c>
    </row>
    <row r="14" spans="1:23" ht="14.1" customHeight="1" x14ac:dyDescent="0.25">
      <c r="A14" s="361" t="s">
        <v>456</v>
      </c>
      <c r="B14" s="352">
        <v>10.272</v>
      </c>
      <c r="C14" s="353">
        <f t="shared" si="0"/>
        <v>0.1603538775291016</v>
      </c>
      <c r="D14" s="354">
        <v>23.861999999999998</v>
      </c>
      <c r="E14" s="353">
        <f t="shared" si="1"/>
        <v>0.36625038467648413</v>
      </c>
      <c r="F14" s="354">
        <v>26.608000000000001</v>
      </c>
      <c r="G14" s="353">
        <f t="shared" si="2"/>
        <v>0.37529268612270389</v>
      </c>
      <c r="H14" s="355">
        <f t="shared" si="3"/>
        <v>232.30140186915884</v>
      </c>
      <c r="I14" s="355">
        <f t="shared" si="4"/>
        <v>111.50783672785182</v>
      </c>
    </row>
    <row r="15" spans="1:23" ht="14.1" customHeight="1" x14ac:dyDescent="0.25">
      <c r="A15" s="356" t="s">
        <v>457</v>
      </c>
      <c r="B15" s="357">
        <f>SUM(B13:B14)</f>
        <v>1195.6859999999999</v>
      </c>
      <c r="C15" s="358">
        <f t="shared" si="0"/>
        <v>18.665584735909398</v>
      </c>
      <c r="D15" s="359">
        <f>SUM(D13:D14)</f>
        <v>996.37399999999991</v>
      </c>
      <c r="E15" s="358">
        <f t="shared" si="1"/>
        <v>15.293033307419632</v>
      </c>
      <c r="F15" s="359">
        <f>SUM(F13:F14)</f>
        <v>1020.9979999999999</v>
      </c>
      <c r="G15" s="358">
        <f t="shared" si="2"/>
        <v>14.400672051484831</v>
      </c>
      <c r="H15" s="360">
        <f t="shared" si="3"/>
        <v>83.330740679409146</v>
      </c>
      <c r="I15" s="360">
        <f t="shared" si="4"/>
        <v>102.47136115555003</v>
      </c>
    </row>
    <row r="16" spans="1:23" ht="14.1" customHeight="1" thickBot="1" x14ac:dyDescent="0.3">
      <c r="A16" s="362" t="s">
        <v>458</v>
      </c>
      <c r="B16" s="363">
        <f t="shared" ref="B16:F16" si="5">B12+B15</f>
        <v>6405.8320000000003</v>
      </c>
      <c r="C16" s="364">
        <f t="shared" si="5"/>
        <v>100</v>
      </c>
      <c r="D16" s="365">
        <f t="shared" si="5"/>
        <v>6515.2150000000001</v>
      </c>
      <c r="E16" s="364">
        <f t="shared" ref="E16:G16" si="6">E12+E15</f>
        <v>100.00000000000001</v>
      </c>
      <c r="F16" s="365">
        <f t="shared" si="5"/>
        <v>7089.9329999999991</v>
      </c>
      <c r="G16" s="364">
        <f t="shared" si="6"/>
        <v>100</v>
      </c>
      <c r="H16" s="366">
        <f t="shared" si="3"/>
        <v>101.70755336699433</v>
      </c>
      <c r="I16" s="366">
        <f t="shared" si="4"/>
        <v>108.82116706816274</v>
      </c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2:T22"/>
  <sheetViews>
    <sheetView zoomScaleNormal="100" workbookViewId="0">
      <selection activeCell="A2" sqref="A2"/>
    </sheetView>
  </sheetViews>
  <sheetFormatPr defaultColWidth="8.5703125" defaultRowHeight="15" x14ac:dyDescent="0.25"/>
  <cols>
    <col min="1" max="1" width="50.7109375" style="43" customWidth="1"/>
    <col min="2" max="4" width="12.5703125" style="43" customWidth="1"/>
    <col min="5" max="5" width="10.42578125" style="43" customWidth="1"/>
    <col min="6" max="6" width="10.42578125" style="43" hidden="1" customWidth="1"/>
    <col min="7" max="7" width="19.140625" style="43" hidden="1" customWidth="1"/>
    <col min="8" max="8" width="35.140625" style="43" hidden="1" customWidth="1"/>
    <col min="9" max="9" width="8.5703125" style="43" hidden="1" customWidth="1"/>
    <col min="10" max="16384" width="8.5703125" style="43"/>
  </cols>
  <sheetData>
    <row r="2" spans="1:20" ht="15" customHeight="1" x14ac:dyDescent="0.25">
      <c r="A2" s="65" t="s">
        <v>459</v>
      </c>
      <c r="B2" s="65"/>
      <c r="C2" s="65"/>
      <c r="D2" s="80" t="s">
        <v>3</v>
      </c>
    </row>
    <row r="3" spans="1:20" x14ac:dyDescent="0.25">
      <c r="A3" s="109" t="s">
        <v>12</v>
      </c>
      <c r="B3" s="329" t="str">
        <f>B12</f>
        <v>2019.</v>
      </c>
      <c r="C3" s="330" t="str">
        <f t="shared" ref="C3:D3" si="0">C12</f>
        <v>2020.</v>
      </c>
      <c r="D3" s="330" t="str">
        <f t="shared" si="0"/>
        <v>06/2021.</v>
      </c>
    </row>
    <row r="4" spans="1:20" ht="14.1" customHeight="1" x14ac:dyDescent="0.25">
      <c r="A4" s="85" t="s">
        <v>461</v>
      </c>
      <c r="B4" s="331">
        <f>IF(B14&lt;&gt;0,B13*100/B14,0)</f>
        <v>22.969638917564971</v>
      </c>
      <c r="C4" s="332">
        <f>IF(C14&lt;&gt;0,C13*100/C14,0)</f>
        <v>22.866490068311101</v>
      </c>
      <c r="D4" s="332">
        <f>IF(D14&lt;&gt;0,D13*100/D14,0)</f>
        <v>25.919567244729439</v>
      </c>
    </row>
    <row r="5" spans="1:20" ht="14.1" customHeight="1" x14ac:dyDescent="0.25">
      <c r="A5" s="85" t="s">
        <v>462</v>
      </c>
      <c r="B5" s="331">
        <f>IF(B15&lt;&gt;0,B13*100/B15,0)</f>
        <v>35.032999278364805</v>
      </c>
      <c r="C5" s="332">
        <f>IF(C15&lt;&gt;0,C13*100/C15,0)</f>
        <v>33.754199948335021</v>
      </c>
      <c r="D5" s="332">
        <f>IF(D15&lt;&gt;0,D13*100/D15,0)</f>
        <v>37.571547025307169</v>
      </c>
    </row>
    <row r="6" spans="1:20" ht="14.1" customHeight="1" x14ac:dyDescent="0.25">
      <c r="A6" s="85" t="s">
        <v>463</v>
      </c>
      <c r="B6" s="331">
        <f>IF(B16&lt;&gt;0,B15*100/B16,0)</f>
        <v>75.083178532292919</v>
      </c>
      <c r="C6" s="332">
        <f>IF(C16&lt;&gt;0,C15*100/C16,0)</f>
        <v>77.442028906647707</v>
      </c>
      <c r="D6" s="332">
        <f>IF(D16&lt;&gt;0,D15*100/D16,0)</f>
        <v>78.797070158216258</v>
      </c>
    </row>
    <row r="7" spans="1:20" ht="14.1" customHeight="1" x14ac:dyDescent="0.25">
      <c r="A7" s="85" t="s">
        <v>464</v>
      </c>
      <c r="B7" s="331">
        <f>IF(B18+B19&lt;&gt;0,B17*100/(B18+B19),0)</f>
        <v>77.965813617326958</v>
      </c>
      <c r="C7" s="332">
        <f>IF(C18+C19&lt;&gt;0,C17*100/(C18+C19),0)</f>
        <v>76.371290948141038</v>
      </c>
      <c r="D7" s="332">
        <f>IF(D18+D19&lt;&gt;0,D17*100/(D18+D19),0)</f>
        <v>72.192184356193493</v>
      </c>
    </row>
    <row r="8" spans="1:20" ht="14.1" customHeight="1" thickBot="1" x14ac:dyDescent="0.3">
      <c r="A8" s="90" t="s">
        <v>465</v>
      </c>
      <c r="B8" s="333">
        <f>IF(B18+B19+B20&lt;&gt;0,B17*100/(B18+B19+B20),0)</f>
        <v>77.388565662935676</v>
      </c>
      <c r="C8" s="334">
        <f>IF(C18+C19+C20&lt;&gt;0,C17*100/(C18+C19+C20),0)</f>
        <v>75.820383564698972</v>
      </c>
      <c r="D8" s="334">
        <f>IF(D18+D19+D20&lt;&gt;0,D17*100/(D18+D19+D20),0)</f>
        <v>71.709446453431696</v>
      </c>
    </row>
    <row r="9" spans="1:20" ht="25.5" customHeight="1" x14ac:dyDescent="0.25">
      <c r="A9" s="873" t="s">
        <v>466</v>
      </c>
      <c r="B9" s="873"/>
      <c r="C9" s="873"/>
      <c r="D9" s="873"/>
    </row>
    <row r="10" spans="1:20" ht="15.75" x14ac:dyDescent="0.25">
      <c r="B10" s="368"/>
      <c r="C10" s="368"/>
      <c r="D10" s="368"/>
    </row>
    <row r="11" spans="1:20" ht="15.75" x14ac:dyDescent="0.25">
      <c r="A11" s="369"/>
      <c r="B11" s="484"/>
      <c r="C11" s="484"/>
      <c r="D11" s="484"/>
    </row>
    <row r="12" spans="1:20" hidden="1" x14ac:dyDescent="0.25">
      <c r="A12" s="602" t="s">
        <v>214</v>
      </c>
      <c r="B12" s="600" t="s">
        <v>531</v>
      </c>
      <c r="C12" s="600" t="s">
        <v>532</v>
      </c>
      <c r="D12" s="600" t="s">
        <v>533</v>
      </c>
      <c r="E12" s="154"/>
      <c r="F12" s="49"/>
    </row>
    <row r="13" spans="1:20" s="49" customFormat="1" ht="14.1" hidden="1" customHeight="1" x14ac:dyDescent="0.25">
      <c r="A13" s="601" t="s">
        <v>467</v>
      </c>
      <c r="B13" s="485">
        <v>1905.943</v>
      </c>
      <c r="C13" s="485">
        <v>1945.6120000000001</v>
      </c>
      <c r="D13" s="485">
        <v>2371.6219999999998</v>
      </c>
      <c r="E13" s="154"/>
      <c r="F13" s="49" t="s">
        <v>509</v>
      </c>
      <c r="G13" s="49" t="s">
        <v>502</v>
      </c>
      <c r="H13" s="154"/>
      <c r="I13" s="367" t="s">
        <v>460</v>
      </c>
    </row>
    <row r="14" spans="1:20" s="49" customFormat="1" ht="14.1" hidden="1" customHeight="1" x14ac:dyDescent="0.25">
      <c r="A14" s="601" t="s">
        <v>469</v>
      </c>
      <c r="B14" s="485">
        <v>8297.6620000000003</v>
      </c>
      <c r="C14" s="485">
        <v>8508.5730000000003</v>
      </c>
      <c r="D14" s="485">
        <v>9149.9290000000001</v>
      </c>
      <c r="E14" s="154"/>
      <c r="F14" s="49" t="s">
        <v>507</v>
      </c>
      <c r="G14" s="49" t="s">
        <v>501</v>
      </c>
      <c r="H14" s="154"/>
      <c r="I14" s="49" t="s">
        <v>468</v>
      </c>
      <c r="T14" s="27"/>
    </row>
    <row r="15" spans="1:20" s="49" customFormat="1" ht="14.1" hidden="1" customHeight="1" x14ac:dyDescent="0.25">
      <c r="A15" s="601" t="s">
        <v>471</v>
      </c>
      <c r="B15" s="485">
        <v>5440.4219999999996</v>
      </c>
      <c r="C15" s="485">
        <v>5764.0590000000002</v>
      </c>
      <c r="D15" s="485">
        <v>6312.2820000000002</v>
      </c>
      <c r="E15" s="154"/>
      <c r="F15" s="154" t="s">
        <v>509</v>
      </c>
      <c r="G15" s="154" t="s">
        <v>510</v>
      </c>
      <c r="H15" s="154"/>
      <c r="I15" s="49" t="s">
        <v>470</v>
      </c>
      <c r="T15" s="27"/>
    </row>
    <row r="16" spans="1:20" s="49" customFormat="1" ht="14.1" hidden="1" customHeight="1" x14ac:dyDescent="0.25">
      <c r="A16" s="601" t="s">
        <v>473</v>
      </c>
      <c r="B16" s="485">
        <v>7245.86</v>
      </c>
      <c r="C16" s="485">
        <v>7443.0630000000001</v>
      </c>
      <c r="D16" s="485">
        <v>8010.808</v>
      </c>
      <c r="E16" s="154"/>
      <c r="F16" s="154" t="s">
        <v>509</v>
      </c>
      <c r="G16" s="154" t="s">
        <v>508</v>
      </c>
      <c r="H16" s="154"/>
      <c r="I16" s="49" t="s">
        <v>472</v>
      </c>
      <c r="T16" s="27"/>
    </row>
    <row r="17" spans="1:20" s="49" customFormat="1" ht="14.1" hidden="1" customHeight="1" x14ac:dyDescent="0.25">
      <c r="A17" s="601" t="s">
        <v>474</v>
      </c>
      <c r="B17" s="485">
        <v>5463.2929999999997</v>
      </c>
      <c r="C17" s="485">
        <v>5493.8069999999998</v>
      </c>
      <c r="D17" s="485">
        <v>5605.1989999999996</v>
      </c>
      <c r="E17" s="154"/>
      <c r="F17" s="49" t="s">
        <v>507</v>
      </c>
      <c r="G17" s="49" t="s">
        <v>503</v>
      </c>
      <c r="H17" s="154"/>
      <c r="I17" s="49" t="s">
        <v>174</v>
      </c>
      <c r="T17" s="27"/>
    </row>
    <row r="18" spans="1:20" s="49" customFormat="1" ht="14.1" hidden="1" customHeight="1" x14ac:dyDescent="0.25">
      <c r="A18" s="601" t="s">
        <v>475</v>
      </c>
      <c r="B18" s="485">
        <v>6405.8320000000003</v>
      </c>
      <c r="C18" s="485">
        <v>6515.2150000000001</v>
      </c>
      <c r="D18" s="485">
        <v>7089.933</v>
      </c>
      <c r="E18" s="154"/>
      <c r="F18" s="49" t="s">
        <v>507</v>
      </c>
      <c r="G18" s="49" t="s">
        <v>504</v>
      </c>
      <c r="H18" s="154"/>
      <c r="T18" s="27"/>
    </row>
    <row r="19" spans="1:20" s="49" customFormat="1" ht="14.1" hidden="1" customHeight="1" x14ac:dyDescent="0.25">
      <c r="A19" s="601" t="s">
        <v>477</v>
      </c>
      <c r="B19" s="485">
        <v>601.46100000000001</v>
      </c>
      <c r="C19" s="485">
        <v>678.33500000000004</v>
      </c>
      <c r="D19" s="485">
        <v>674.34100000000001</v>
      </c>
      <c r="E19" s="154"/>
      <c r="F19" s="49" t="s">
        <v>507</v>
      </c>
      <c r="G19" s="49" t="s">
        <v>505</v>
      </c>
      <c r="H19" s="154"/>
      <c r="I19" s="49" t="s">
        <v>476</v>
      </c>
      <c r="T19" s="27"/>
    </row>
    <row r="20" spans="1:20" s="49" customFormat="1" ht="14.1" hidden="1" customHeight="1" x14ac:dyDescent="0.25">
      <c r="A20" s="601" t="s">
        <v>479</v>
      </c>
      <c r="B20" s="485">
        <v>52.268000000000001</v>
      </c>
      <c r="C20" s="485">
        <v>52.268000000000001</v>
      </c>
      <c r="D20" s="485">
        <v>52.268000000000001</v>
      </c>
      <c r="E20" s="154"/>
      <c r="F20" s="49" t="s">
        <v>507</v>
      </c>
      <c r="G20" s="49" t="s">
        <v>506</v>
      </c>
      <c r="H20" s="154"/>
      <c r="I20" s="49" t="s">
        <v>478</v>
      </c>
      <c r="T20" s="27"/>
    </row>
    <row r="21" spans="1:20" x14ac:dyDescent="0.25">
      <c r="E21" s="154"/>
      <c r="F21" s="49"/>
      <c r="I21" s="49" t="s">
        <v>472</v>
      </c>
    </row>
    <row r="22" spans="1:20" x14ac:dyDescent="0.25">
      <c r="I22" s="154" t="s">
        <v>174</v>
      </c>
    </row>
  </sheetData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I12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12" style="4" customWidth="1"/>
    <col min="2" max="2" width="10.7109375" style="4" customWidth="1"/>
    <col min="3" max="3" width="8.28515625" style="4" customWidth="1"/>
    <col min="4" max="4" width="10.7109375" style="4" customWidth="1"/>
    <col min="5" max="5" width="8.28515625" style="4" customWidth="1"/>
    <col min="6" max="6" width="10.7109375" style="4" customWidth="1"/>
    <col min="7" max="7" width="8.28515625" style="4" customWidth="1"/>
    <col min="8" max="8" width="10.7109375" style="4" customWidth="1"/>
    <col min="9" max="9" width="8.28515625" style="4" customWidth="1"/>
    <col min="10" max="16384" width="9.140625" style="4"/>
  </cols>
  <sheetData>
    <row r="1" spans="1:9" x14ac:dyDescent="0.2">
      <c r="B1" s="194"/>
      <c r="C1" s="194"/>
      <c r="D1" s="194"/>
    </row>
    <row r="2" spans="1:9" ht="15" customHeight="1" x14ac:dyDescent="0.2">
      <c r="A2" s="81" t="s">
        <v>392</v>
      </c>
      <c r="B2" s="81"/>
      <c r="C2" s="81"/>
      <c r="D2" s="81"/>
      <c r="E2" s="81"/>
      <c r="F2" s="81"/>
      <c r="G2" s="81"/>
      <c r="H2" s="81"/>
      <c r="I2" s="418"/>
    </row>
    <row r="3" spans="1:9" x14ac:dyDescent="0.2">
      <c r="A3" s="766" t="s">
        <v>65</v>
      </c>
      <c r="B3" s="877" t="s">
        <v>228</v>
      </c>
      <c r="C3" s="878"/>
      <c r="D3" s="876" t="s">
        <v>229</v>
      </c>
      <c r="E3" s="874"/>
      <c r="F3" s="874"/>
      <c r="G3" s="875"/>
      <c r="H3" s="781" t="s">
        <v>41</v>
      </c>
      <c r="I3" s="781"/>
    </row>
    <row r="4" spans="1:9" ht="22.5" customHeight="1" x14ac:dyDescent="0.2">
      <c r="A4" s="766"/>
      <c r="B4" s="876"/>
      <c r="C4" s="875"/>
      <c r="D4" s="876" t="s">
        <v>188</v>
      </c>
      <c r="E4" s="874"/>
      <c r="F4" s="874" t="s">
        <v>189</v>
      </c>
      <c r="G4" s="875"/>
      <c r="H4" s="874"/>
      <c r="I4" s="874"/>
    </row>
    <row r="5" spans="1:9" ht="24" x14ac:dyDescent="0.2">
      <c r="A5" s="767"/>
      <c r="B5" s="483" t="s">
        <v>190</v>
      </c>
      <c r="C5" s="482" t="s">
        <v>485</v>
      </c>
      <c r="D5" s="483" t="s">
        <v>190</v>
      </c>
      <c r="E5" s="481" t="s">
        <v>485</v>
      </c>
      <c r="F5" s="481" t="s">
        <v>190</v>
      </c>
      <c r="G5" s="482" t="s">
        <v>485</v>
      </c>
      <c r="H5" s="481" t="s">
        <v>190</v>
      </c>
      <c r="I5" s="481" t="s">
        <v>485</v>
      </c>
    </row>
    <row r="6" spans="1:9" ht="14.1" customHeight="1" x14ac:dyDescent="0.2">
      <c r="A6" s="733" t="s">
        <v>555</v>
      </c>
      <c r="B6" s="734">
        <v>1577354</v>
      </c>
      <c r="C6" s="735">
        <v>872.16800000000001</v>
      </c>
      <c r="D6" s="734">
        <v>1764088</v>
      </c>
      <c r="E6" s="208">
        <v>1895.1479999999999</v>
      </c>
      <c r="F6" s="559">
        <v>1014146</v>
      </c>
      <c r="G6" s="735">
        <v>1672.713</v>
      </c>
      <c r="H6" s="559">
        <f t="shared" ref="H6:H11" si="0">B6+D6+F6</f>
        <v>4355588</v>
      </c>
      <c r="I6" s="208">
        <f t="shared" ref="I6:I11" si="1">C6+E6+G6</f>
        <v>4440.0289999999995</v>
      </c>
    </row>
    <row r="7" spans="1:9" ht="14.1" customHeight="1" x14ac:dyDescent="0.2">
      <c r="A7" s="733" t="s">
        <v>556</v>
      </c>
      <c r="B7" s="734">
        <v>1675196</v>
      </c>
      <c r="C7" s="735">
        <v>932.52</v>
      </c>
      <c r="D7" s="734">
        <v>1877249</v>
      </c>
      <c r="E7" s="208">
        <v>2177.6280000000002</v>
      </c>
      <c r="F7" s="559">
        <v>1135261</v>
      </c>
      <c r="G7" s="735">
        <v>1968.8040000000001</v>
      </c>
      <c r="H7" s="559">
        <f t="shared" si="0"/>
        <v>4687706</v>
      </c>
      <c r="I7" s="208">
        <f t="shared" si="1"/>
        <v>5078.9520000000002</v>
      </c>
    </row>
    <row r="8" spans="1:9" ht="14.1" customHeight="1" x14ac:dyDescent="0.2">
      <c r="A8" s="733" t="s">
        <v>554</v>
      </c>
      <c r="B8" s="734">
        <v>1835443</v>
      </c>
      <c r="C8" s="735">
        <v>1143.0889999999999</v>
      </c>
      <c r="D8" s="734">
        <v>2132219</v>
      </c>
      <c r="E8" s="208">
        <v>2611.5700000000002</v>
      </c>
      <c r="F8" s="559">
        <v>1321157</v>
      </c>
      <c r="G8" s="735">
        <v>2183.2669999999998</v>
      </c>
      <c r="H8" s="559">
        <f t="shared" si="0"/>
        <v>5288819</v>
      </c>
      <c r="I8" s="208">
        <f t="shared" si="1"/>
        <v>5937.9259999999995</v>
      </c>
    </row>
    <row r="9" spans="1:9" ht="14.1" customHeight="1" x14ac:dyDescent="0.2">
      <c r="A9" s="733" t="s">
        <v>557</v>
      </c>
      <c r="B9" s="734">
        <v>1797925</v>
      </c>
      <c r="C9" s="735">
        <v>1099.5809999999999</v>
      </c>
      <c r="D9" s="734">
        <v>2121942</v>
      </c>
      <c r="E9" s="208">
        <v>2556.8829999999998</v>
      </c>
      <c r="F9" s="559">
        <v>1258528</v>
      </c>
      <c r="G9" s="735">
        <v>2398.2710000000002</v>
      </c>
      <c r="H9" s="559">
        <f t="shared" si="0"/>
        <v>5178395</v>
      </c>
      <c r="I9" s="208">
        <f t="shared" si="1"/>
        <v>6054.7350000000006</v>
      </c>
    </row>
    <row r="10" spans="1:9" ht="14.1" customHeight="1" x14ac:dyDescent="0.2">
      <c r="A10" s="733" t="s">
        <v>558</v>
      </c>
      <c r="B10" s="734">
        <v>1802095</v>
      </c>
      <c r="C10" s="735">
        <v>1193.443</v>
      </c>
      <c r="D10" s="734">
        <v>1629276</v>
      </c>
      <c r="E10" s="208">
        <v>1969.6120000000001</v>
      </c>
      <c r="F10" s="559">
        <v>1198100</v>
      </c>
      <c r="G10" s="735">
        <v>1751.1079999999999</v>
      </c>
      <c r="H10" s="559">
        <f t="shared" si="0"/>
        <v>4629471</v>
      </c>
      <c r="I10" s="208">
        <f t="shared" si="1"/>
        <v>4914.1630000000005</v>
      </c>
    </row>
    <row r="11" spans="1:9" ht="14.1" customHeight="1" x14ac:dyDescent="0.2">
      <c r="A11" s="733" t="s">
        <v>533</v>
      </c>
      <c r="B11" s="734">
        <v>1859893</v>
      </c>
      <c r="C11" s="735">
        <v>1239.8150000000001</v>
      </c>
      <c r="D11" s="734">
        <v>2215036</v>
      </c>
      <c r="E11" s="208">
        <v>2548.5720000000001</v>
      </c>
      <c r="F11" s="559">
        <v>1397247</v>
      </c>
      <c r="G11" s="735">
        <v>2363.2750000000001</v>
      </c>
      <c r="H11" s="559">
        <f t="shared" si="0"/>
        <v>5472176</v>
      </c>
      <c r="I11" s="208">
        <f t="shared" si="1"/>
        <v>6151.6620000000003</v>
      </c>
    </row>
    <row r="12" spans="1:9" ht="14.1" customHeight="1" thickBot="1" x14ac:dyDescent="0.25">
      <c r="A12" s="736" t="s">
        <v>64</v>
      </c>
      <c r="B12" s="737">
        <f t="shared" ref="B12:I12" si="2">SUM(B6:B11)</f>
        <v>10547906</v>
      </c>
      <c r="C12" s="738">
        <f t="shared" si="2"/>
        <v>6480.616</v>
      </c>
      <c r="D12" s="737">
        <f t="shared" si="2"/>
        <v>11739810</v>
      </c>
      <c r="E12" s="211">
        <f t="shared" si="2"/>
        <v>13759.413</v>
      </c>
      <c r="F12" s="732">
        <f t="shared" si="2"/>
        <v>7324439</v>
      </c>
      <c r="G12" s="738">
        <f t="shared" si="2"/>
        <v>12337.438</v>
      </c>
      <c r="H12" s="732">
        <f t="shared" si="2"/>
        <v>29612155</v>
      </c>
      <c r="I12" s="211">
        <f t="shared" si="2"/>
        <v>32577.467000000001</v>
      </c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J13"/>
  <sheetViews>
    <sheetView topLeftCell="B1" zoomScaleNormal="100" workbookViewId="0">
      <selection activeCell="B2" sqref="B2"/>
    </sheetView>
  </sheetViews>
  <sheetFormatPr defaultColWidth="9.140625" defaultRowHeight="12" x14ac:dyDescent="0.2"/>
  <cols>
    <col min="1" max="1" width="9.5703125" style="4" hidden="1" customWidth="1"/>
    <col min="2" max="2" width="29.5703125" style="4" customWidth="1"/>
    <col min="3" max="3" width="12.85546875" style="4" customWidth="1"/>
    <col min="4" max="4" width="26" style="4" customWidth="1"/>
    <col min="5" max="5" width="18.28515625" style="4" customWidth="1"/>
    <col min="6" max="6" width="9.140625" style="4"/>
    <col min="7" max="7" width="12.42578125" style="4" customWidth="1"/>
    <col min="8" max="8" width="12.140625" style="4" customWidth="1"/>
    <col min="9" max="9" width="9.28515625" style="4" customWidth="1"/>
    <col min="10" max="10" width="9.7109375" style="4" customWidth="1"/>
    <col min="11" max="16384" width="9.140625" style="4"/>
  </cols>
  <sheetData>
    <row r="1" spans="2:10" x14ac:dyDescent="0.2">
      <c r="B1" s="194"/>
      <c r="C1" s="194"/>
    </row>
    <row r="2" spans="2:10" x14ac:dyDescent="0.2">
      <c r="B2" s="81" t="s">
        <v>352</v>
      </c>
      <c r="C2" s="81"/>
      <c r="D2" s="81"/>
      <c r="E2" s="81"/>
      <c r="F2" s="81"/>
      <c r="G2" s="81"/>
      <c r="H2" s="81"/>
      <c r="I2" s="81"/>
      <c r="J2" s="477" t="s">
        <v>489</v>
      </c>
    </row>
    <row r="3" spans="2:10" x14ac:dyDescent="0.2">
      <c r="B3" s="883" t="s">
        <v>193</v>
      </c>
      <c r="C3" s="879" t="s">
        <v>194</v>
      </c>
      <c r="D3" s="879" t="s">
        <v>195</v>
      </c>
      <c r="E3" s="879" t="s">
        <v>196</v>
      </c>
      <c r="F3" s="880" t="s">
        <v>533</v>
      </c>
      <c r="G3" s="881"/>
      <c r="H3" s="881"/>
      <c r="I3" s="881"/>
      <c r="J3" s="882"/>
    </row>
    <row r="4" spans="2:10" ht="24" customHeight="1" x14ac:dyDescent="0.2">
      <c r="B4" s="883"/>
      <c r="C4" s="879"/>
      <c r="D4" s="879"/>
      <c r="E4" s="879"/>
      <c r="F4" s="509" t="s">
        <v>495</v>
      </c>
      <c r="G4" s="509" t="s">
        <v>222</v>
      </c>
      <c r="H4" s="509" t="s">
        <v>213</v>
      </c>
      <c r="I4" s="509" t="s">
        <v>294</v>
      </c>
      <c r="J4" s="510" t="s">
        <v>1</v>
      </c>
    </row>
    <row r="5" spans="2:10" ht="15" customHeight="1" x14ac:dyDescent="0.2">
      <c r="B5" s="511" t="s">
        <v>534</v>
      </c>
      <c r="C5" s="758" t="s">
        <v>565</v>
      </c>
      <c r="D5" s="758" t="s">
        <v>576</v>
      </c>
      <c r="E5" s="758" t="s">
        <v>569</v>
      </c>
      <c r="F5" s="512">
        <v>2429.442</v>
      </c>
      <c r="G5" s="512">
        <v>206.797</v>
      </c>
      <c r="H5" s="512">
        <v>1549.7070000000001</v>
      </c>
      <c r="I5" s="512">
        <v>1857.8910000000001</v>
      </c>
      <c r="J5" s="513">
        <v>672</v>
      </c>
    </row>
    <row r="6" spans="2:10" ht="15" customHeight="1" x14ac:dyDescent="0.2">
      <c r="B6" s="514" t="s">
        <v>535</v>
      </c>
      <c r="C6" s="759" t="s">
        <v>565</v>
      </c>
      <c r="D6" s="759" t="s">
        <v>567</v>
      </c>
      <c r="E6" s="759" t="s">
        <v>570</v>
      </c>
      <c r="F6" s="515">
        <v>1737.5730000000001</v>
      </c>
      <c r="G6" s="515">
        <v>212.21799999999999</v>
      </c>
      <c r="H6" s="515">
        <v>916.69600000000003</v>
      </c>
      <c r="I6" s="515">
        <v>1383.9059999999999</v>
      </c>
      <c r="J6" s="516">
        <v>474</v>
      </c>
    </row>
    <row r="7" spans="2:10" ht="15" customHeight="1" x14ac:dyDescent="0.2">
      <c r="B7" s="514" t="s">
        <v>536</v>
      </c>
      <c r="C7" s="759" t="s">
        <v>565</v>
      </c>
      <c r="D7" s="759" t="s">
        <v>568</v>
      </c>
      <c r="E7" s="759" t="s">
        <v>563</v>
      </c>
      <c r="F7" s="515">
        <v>1615.2439999999999</v>
      </c>
      <c r="G7" s="515">
        <v>265.34199999999998</v>
      </c>
      <c r="H7" s="515">
        <v>1010.259</v>
      </c>
      <c r="I7" s="515">
        <v>1225.6959999999999</v>
      </c>
      <c r="J7" s="516">
        <v>442</v>
      </c>
    </row>
    <row r="8" spans="2:10" ht="15" customHeight="1" x14ac:dyDescent="0.2">
      <c r="B8" s="514" t="s">
        <v>537</v>
      </c>
      <c r="C8" s="759" t="s">
        <v>565</v>
      </c>
      <c r="D8" s="759" t="s">
        <v>559</v>
      </c>
      <c r="E8" s="759" t="s">
        <v>571</v>
      </c>
      <c r="F8" s="515">
        <v>1077.0170000000001</v>
      </c>
      <c r="G8" s="515">
        <v>135.226</v>
      </c>
      <c r="H8" s="515">
        <v>681.82799999999997</v>
      </c>
      <c r="I8" s="515">
        <v>856.74300000000005</v>
      </c>
      <c r="J8" s="516">
        <v>386</v>
      </c>
    </row>
    <row r="9" spans="2:10" ht="15" customHeight="1" x14ac:dyDescent="0.2">
      <c r="B9" s="514" t="s">
        <v>538</v>
      </c>
      <c r="C9" s="759" t="s">
        <v>565</v>
      </c>
      <c r="D9" s="759" t="s">
        <v>561</v>
      </c>
      <c r="E9" s="759" t="s">
        <v>572</v>
      </c>
      <c r="F9" s="515">
        <v>921.23299999999995</v>
      </c>
      <c r="G9" s="515">
        <v>152.71100000000001</v>
      </c>
      <c r="H9" s="515">
        <v>616.39</v>
      </c>
      <c r="I9" s="515">
        <v>705.67399999999998</v>
      </c>
      <c r="J9" s="516">
        <v>353</v>
      </c>
    </row>
    <row r="10" spans="2:10" ht="15" customHeight="1" x14ac:dyDescent="0.2">
      <c r="B10" s="514" t="s">
        <v>539</v>
      </c>
      <c r="C10" s="759" t="s">
        <v>565</v>
      </c>
      <c r="D10" s="759" t="s">
        <v>562</v>
      </c>
      <c r="E10" s="759" t="s">
        <v>573</v>
      </c>
      <c r="F10" s="515">
        <v>591.45500000000004</v>
      </c>
      <c r="G10" s="515">
        <v>73.349000000000004</v>
      </c>
      <c r="H10" s="515">
        <v>426.69600000000003</v>
      </c>
      <c r="I10" s="515">
        <v>453.762</v>
      </c>
      <c r="J10" s="516">
        <v>255</v>
      </c>
    </row>
    <row r="11" spans="2:10" ht="24" x14ac:dyDescent="0.2">
      <c r="B11" s="514" t="s">
        <v>540</v>
      </c>
      <c r="C11" s="759" t="s">
        <v>565</v>
      </c>
      <c r="D11" s="759" t="s">
        <v>560</v>
      </c>
      <c r="E11" s="759" t="s">
        <v>574</v>
      </c>
      <c r="F11" s="515">
        <v>536.803</v>
      </c>
      <c r="G11" s="515">
        <v>63.454000000000001</v>
      </c>
      <c r="H11" s="515">
        <v>292.40499999999997</v>
      </c>
      <c r="I11" s="515">
        <v>407.15699999999998</v>
      </c>
      <c r="J11" s="516">
        <v>149</v>
      </c>
    </row>
    <row r="12" spans="2:10" ht="15" customHeight="1" x14ac:dyDescent="0.2">
      <c r="B12" s="517" t="s">
        <v>541</v>
      </c>
      <c r="C12" s="760" t="s">
        <v>566</v>
      </c>
      <c r="D12" s="760" t="s">
        <v>564</v>
      </c>
      <c r="E12" s="760" t="s">
        <v>575</v>
      </c>
      <c r="F12" s="518">
        <v>241.16200000000001</v>
      </c>
      <c r="G12" s="518">
        <v>18.795999999999999</v>
      </c>
      <c r="H12" s="518">
        <v>111.218</v>
      </c>
      <c r="I12" s="518">
        <v>199.10400000000001</v>
      </c>
      <c r="J12" s="519">
        <v>213</v>
      </c>
    </row>
    <row r="13" spans="2:10" ht="15" customHeight="1" thickBot="1" x14ac:dyDescent="0.25">
      <c r="B13" s="520"/>
      <c r="C13" s="521"/>
      <c r="D13" s="522"/>
      <c r="E13" s="523" t="s">
        <v>64</v>
      </c>
      <c r="F13" s="523">
        <f>SUM(F5:F12)</f>
        <v>9149.9290000000001</v>
      </c>
      <c r="G13" s="523">
        <f t="shared" ref="G13:I13" si="0">SUM(G5:G12)</f>
        <v>1127.893</v>
      </c>
      <c r="H13" s="523">
        <f t="shared" si="0"/>
        <v>5605.1989999999996</v>
      </c>
      <c r="I13" s="523">
        <f t="shared" si="0"/>
        <v>7089.9330000000009</v>
      </c>
      <c r="J13" s="739">
        <f>SUM(J5:J12)</f>
        <v>2944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H35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52.85546875" style="4" customWidth="1"/>
    <col min="2" max="2" width="15.5703125" style="4" customWidth="1"/>
    <col min="3" max="3" width="7.5703125" style="4" customWidth="1"/>
    <col min="4" max="4" width="15.5703125" style="4" customWidth="1"/>
    <col min="5" max="5" width="7.28515625" style="4" customWidth="1"/>
    <col min="6" max="6" width="16.7109375" style="4" customWidth="1"/>
    <col min="7" max="7" width="6.140625" style="4" customWidth="1"/>
    <col min="8" max="8" width="12.140625" style="4" customWidth="1"/>
    <col min="9" max="16384" width="9.140625" style="4"/>
  </cols>
  <sheetData>
    <row r="1" spans="1:8" hidden="1" x14ac:dyDescent="0.2"/>
    <row r="2" spans="1:8" ht="15" x14ac:dyDescent="0.2">
      <c r="A2" s="28"/>
    </row>
    <row r="3" spans="1:8" x14ac:dyDescent="0.2">
      <c r="A3" s="137" t="s">
        <v>490</v>
      </c>
      <c r="B3" s="437"/>
      <c r="C3" s="437"/>
      <c r="D3" s="437"/>
      <c r="E3" s="437"/>
      <c r="F3" s="437"/>
      <c r="G3" s="437"/>
      <c r="H3" s="438" t="s">
        <v>400</v>
      </c>
    </row>
    <row r="4" spans="1:8" ht="14.1" customHeight="1" x14ac:dyDescent="0.2">
      <c r="A4" s="765" t="s">
        <v>12</v>
      </c>
      <c r="B4" s="779" t="s">
        <v>531</v>
      </c>
      <c r="C4" s="780"/>
      <c r="D4" s="779" t="s">
        <v>532</v>
      </c>
      <c r="E4" s="780"/>
      <c r="F4" s="779" t="s">
        <v>533</v>
      </c>
      <c r="G4" s="780"/>
      <c r="H4" s="793" t="s">
        <v>11</v>
      </c>
    </row>
    <row r="5" spans="1:8" ht="14.1" customHeight="1" x14ac:dyDescent="0.2">
      <c r="A5" s="778"/>
      <c r="B5" s="121" t="s">
        <v>2</v>
      </c>
      <c r="C5" s="122" t="s">
        <v>3</v>
      </c>
      <c r="D5" s="121" t="s">
        <v>2</v>
      </c>
      <c r="E5" s="122" t="s">
        <v>3</v>
      </c>
      <c r="F5" s="121" t="s">
        <v>2</v>
      </c>
      <c r="G5" s="122" t="s">
        <v>3</v>
      </c>
      <c r="H5" s="884"/>
    </row>
    <row r="6" spans="1:8" x14ac:dyDescent="0.2">
      <c r="A6" s="123" t="s">
        <v>406</v>
      </c>
      <c r="B6" s="124"/>
      <c r="C6" s="125"/>
      <c r="D6" s="124"/>
      <c r="E6" s="125"/>
      <c r="F6" s="124"/>
      <c r="G6" s="125"/>
      <c r="H6" s="126" t="str">
        <f t="shared" ref="H6:H35" si="0">IF(D6&lt;&gt;0,F6/D6*100,"")</f>
        <v/>
      </c>
    </row>
    <row r="7" spans="1:8" x14ac:dyDescent="0.2">
      <c r="A7" s="487" t="s">
        <v>14</v>
      </c>
      <c r="B7" s="488">
        <v>1886.54</v>
      </c>
      <c r="C7" s="489">
        <f t="shared" ref="C7:C13" si="1">IF(B$14&lt;&gt;0,B7*100/B$14,0)</f>
        <v>21.574925904595226</v>
      </c>
      <c r="D7" s="488">
        <v>1920.242</v>
      </c>
      <c r="E7" s="489">
        <f t="shared" ref="E7:E13" si="2">IF(D$14&lt;&gt;0,D7*100/D$14,0)</f>
        <v>21.601966431174915</v>
      </c>
      <c r="F7" s="488">
        <v>2370.8380000000002</v>
      </c>
      <c r="G7" s="489">
        <f t="shared" ref="G7:G13" si="3">IF(F$14&lt;&gt;0,F7*100/F$14,0)</f>
        <v>24.920474498915503</v>
      </c>
      <c r="H7" s="490">
        <f t="shared" si="0"/>
        <v>123.46558402534681</v>
      </c>
    </row>
    <row r="8" spans="1:8" x14ac:dyDescent="0.2">
      <c r="A8" s="491" t="s">
        <v>15</v>
      </c>
      <c r="B8" s="492">
        <v>921.66399999999999</v>
      </c>
      <c r="C8" s="493">
        <f t="shared" si="1"/>
        <v>10.540371531445318</v>
      </c>
      <c r="D8" s="492">
        <v>1050.6369999999999</v>
      </c>
      <c r="E8" s="493">
        <f t="shared" si="2"/>
        <v>11.819252576159839</v>
      </c>
      <c r="F8" s="492">
        <v>1161.076</v>
      </c>
      <c r="G8" s="493">
        <f t="shared" si="3"/>
        <v>12.204361854037609</v>
      </c>
      <c r="H8" s="494">
        <f t="shared" si="0"/>
        <v>110.51162294874443</v>
      </c>
    </row>
    <row r="9" spans="1:8" x14ac:dyDescent="0.2">
      <c r="A9" s="491" t="s">
        <v>16</v>
      </c>
      <c r="B9" s="492">
        <v>40.851999999999997</v>
      </c>
      <c r="C9" s="493">
        <f t="shared" si="1"/>
        <v>0.46719331318420182</v>
      </c>
      <c r="D9" s="492">
        <v>44.79</v>
      </c>
      <c r="E9" s="493">
        <f t="shared" si="2"/>
        <v>0.5038698645547407</v>
      </c>
      <c r="F9" s="492">
        <v>20.57</v>
      </c>
      <c r="G9" s="493">
        <f t="shared" si="3"/>
        <v>0.21621644348651906</v>
      </c>
      <c r="H9" s="494">
        <f t="shared" si="0"/>
        <v>45.925429783433799</v>
      </c>
    </row>
    <row r="10" spans="1:8" ht="14.1" customHeight="1" x14ac:dyDescent="0.2">
      <c r="A10" s="491" t="s">
        <v>17</v>
      </c>
      <c r="B10" s="492">
        <v>5463.2929999999997</v>
      </c>
      <c r="C10" s="493">
        <f t="shared" si="1"/>
        <v>62.479534846912202</v>
      </c>
      <c r="D10" s="492">
        <v>5493.8069999999998</v>
      </c>
      <c r="E10" s="493">
        <f t="shared" si="2"/>
        <v>61.803165639202646</v>
      </c>
      <c r="F10" s="492">
        <v>5605.1989999999996</v>
      </c>
      <c r="G10" s="493">
        <f t="shared" si="3"/>
        <v>58.917656432386629</v>
      </c>
      <c r="H10" s="494">
        <f t="shared" si="0"/>
        <v>102.02759215968089</v>
      </c>
    </row>
    <row r="11" spans="1:8" x14ac:dyDescent="0.2">
      <c r="A11" s="491" t="s">
        <v>28</v>
      </c>
      <c r="B11" s="492">
        <v>10.461</v>
      </c>
      <c r="C11" s="493">
        <f t="shared" si="1"/>
        <v>0.11963451603887046</v>
      </c>
      <c r="D11" s="492">
        <v>21.193000000000001</v>
      </c>
      <c r="E11" s="493">
        <f t="shared" si="2"/>
        <v>0.23841290554830591</v>
      </c>
      <c r="F11" s="492">
        <v>31.067</v>
      </c>
      <c r="G11" s="493">
        <f t="shared" si="3"/>
        <v>0.32655305054913403</v>
      </c>
      <c r="H11" s="494">
        <f t="shared" si="0"/>
        <v>146.59085547114611</v>
      </c>
    </row>
    <row r="12" spans="1:8" ht="14.1" customHeight="1" x14ac:dyDescent="0.2">
      <c r="A12" s="491" t="s">
        <v>18</v>
      </c>
      <c r="B12" s="492">
        <v>214.768</v>
      </c>
      <c r="C12" s="493">
        <f t="shared" si="1"/>
        <v>2.4561385852821074</v>
      </c>
      <c r="D12" s="492">
        <v>202.76400000000001</v>
      </c>
      <c r="E12" s="493">
        <f t="shared" si="2"/>
        <v>2.2810151644692445</v>
      </c>
      <c r="F12" s="492">
        <v>196.17500000000001</v>
      </c>
      <c r="G12" s="493">
        <f t="shared" si="3"/>
        <v>2.0620447642667905</v>
      </c>
      <c r="H12" s="494">
        <f t="shared" si="0"/>
        <v>96.750409342881383</v>
      </c>
    </row>
    <row r="13" spans="1:8" ht="14.1" customHeight="1" x14ac:dyDescent="0.2">
      <c r="A13" s="491" t="s">
        <v>19</v>
      </c>
      <c r="B13" s="492">
        <v>206.554</v>
      </c>
      <c r="C13" s="493">
        <f t="shared" si="1"/>
        <v>2.3622013025420943</v>
      </c>
      <c r="D13" s="492">
        <v>155.767</v>
      </c>
      <c r="E13" s="493">
        <f t="shared" si="2"/>
        <v>1.7523174188903392</v>
      </c>
      <c r="F13" s="492">
        <v>128.69</v>
      </c>
      <c r="G13" s="493">
        <f t="shared" si="3"/>
        <v>1.3526929563578094</v>
      </c>
      <c r="H13" s="494">
        <f t="shared" si="0"/>
        <v>82.61698562596699</v>
      </c>
    </row>
    <row r="14" spans="1:8" ht="14.1" customHeight="1" x14ac:dyDescent="0.2">
      <c r="A14" s="495" t="s">
        <v>405</v>
      </c>
      <c r="B14" s="496">
        <f t="shared" ref="B14:G14" si="4">SUM(B7:B13)</f>
        <v>8744.1319999999978</v>
      </c>
      <c r="C14" s="497">
        <f t="shared" si="4"/>
        <v>100.00000000000001</v>
      </c>
      <c r="D14" s="496">
        <f t="shared" si="4"/>
        <v>8889.1999999999971</v>
      </c>
      <c r="E14" s="497">
        <f t="shared" si="4"/>
        <v>100.00000000000003</v>
      </c>
      <c r="F14" s="496">
        <f t="shared" si="4"/>
        <v>9513.6149999999998</v>
      </c>
      <c r="G14" s="497">
        <f t="shared" si="4"/>
        <v>100</v>
      </c>
      <c r="H14" s="498">
        <f t="shared" si="0"/>
        <v>107.02442289519868</v>
      </c>
    </row>
    <row r="15" spans="1:8" x14ac:dyDescent="0.2">
      <c r="A15" s="491" t="s">
        <v>513</v>
      </c>
      <c r="B15" s="499">
        <f>B16+B17</f>
        <v>446.47</v>
      </c>
      <c r="C15" s="493"/>
      <c r="D15" s="499">
        <f>D16+D17</f>
        <v>380.62700000000001</v>
      </c>
      <c r="E15" s="493"/>
      <c r="F15" s="499">
        <f>F16+F17</f>
        <v>363.68599999999998</v>
      </c>
      <c r="G15" s="493"/>
      <c r="H15" s="494">
        <f t="shared" si="0"/>
        <v>95.549185948448212</v>
      </c>
    </row>
    <row r="16" spans="1:8" ht="14.1" customHeight="1" x14ac:dyDescent="0.2">
      <c r="A16" s="491" t="s">
        <v>199</v>
      </c>
      <c r="B16" s="492">
        <v>376.904</v>
      </c>
      <c r="C16" s="493"/>
      <c r="D16" s="492">
        <v>357.43299999999999</v>
      </c>
      <c r="E16" s="493"/>
      <c r="F16" s="492">
        <v>341.09399999999999</v>
      </c>
      <c r="G16" s="493"/>
      <c r="H16" s="494">
        <f t="shared" si="0"/>
        <v>95.42879364804034</v>
      </c>
    </row>
    <row r="17" spans="1:8" x14ac:dyDescent="0.2">
      <c r="A17" s="500" t="s">
        <v>200</v>
      </c>
      <c r="B17" s="501">
        <v>69.566000000000003</v>
      </c>
      <c r="C17" s="502"/>
      <c r="D17" s="501">
        <v>23.193999999999999</v>
      </c>
      <c r="E17" s="502"/>
      <c r="F17" s="501">
        <v>22.591999999999999</v>
      </c>
      <c r="G17" s="502"/>
      <c r="H17" s="503">
        <f t="shared" si="0"/>
        <v>97.404501164094157</v>
      </c>
    </row>
    <row r="18" spans="1:8" ht="14.1" customHeight="1" x14ac:dyDescent="0.2">
      <c r="A18" s="129" t="s">
        <v>491</v>
      </c>
      <c r="B18" s="130">
        <f>B14-B15</f>
        <v>8297.6619999999984</v>
      </c>
      <c r="C18" s="131"/>
      <c r="D18" s="130">
        <f>D14-D15</f>
        <v>8508.5729999999967</v>
      </c>
      <c r="E18" s="131"/>
      <c r="F18" s="130">
        <f>F14-F15</f>
        <v>9149.9290000000001</v>
      </c>
      <c r="G18" s="131"/>
      <c r="H18" s="132">
        <f t="shared" si="0"/>
        <v>107.53776220759936</v>
      </c>
    </row>
    <row r="19" spans="1:8" x14ac:dyDescent="0.2">
      <c r="A19" s="504" t="s">
        <v>20</v>
      </c>
      <c r="B19" s="505">
        <f>B20+B21</f>
        <v>1136.153</v>
      </c>
      <c r="C19" s="506"/>
      <c r="D19" s="505">
        <f>D20+D21</f>
        <v>1212.6410000000001</v>
      </c>
      <c r="E19" s="506"/>
      <c r="F19" s="505">
        <f>F20+F21</f>
        <v>1162.4850000000001</v>
      </c>
      <c r="G19" s="506"/>
      <c r="H19" s="507">
        <f t="shared" si="0"/>
        <v>95.863903661512367</v>
      </c>
    </row>
    <row r="20" spans="1:8" x14ac:dyDescent="0.2">
      <c r="A20" s="491" t="s">
        <v>201</v>
      </c>
      <c r="B20" s="492">
        <v>1063.7660000000001</v>
      </c>
      <c r="C20" s="493"/>
      <c r="D20" s="492">
        <v>1129.2850000000001</v>
      </c>
      <c r="E20" s="493"/>
      <c r="F20" s="492">
        <v>1085.2650000000001</v>
      </c>
      <c r="G20" s="493"/>
      <c r="H20" s="494">
        <f t="shared" si="0"/>
        <v>96.101958318759216</v>
      </c>
    </row>
    <row r="21" spans="1:8" x14ac:dyDescent="0.2">
      <c r="A21" s="500" t="s">
        <v>202</v>
      </c>
      <c r="B21" s="501">
        <v>72.387</v>
      </c>
      <c r="C21" s="502"/>
      <c r="D21" s="501">
        <v>83.355999999999995</v>
      </c>
      <c r="E21" s="502"/>
      <c r="F21" s="501">
        <v>77.22</v>
      </c>
      <c r="G21" s="502"/>
      <c r="H21" s="503">
        <f t="shared" si="0"/>
        <v>92.638802245789151</v>
      </c>
    </row>
    <row r="22" spans="1:8" x14ac:dyDescent="0.2">
      <c r="A22" s="129" t="s">
        <v>492</v>
      </c>
      <c r="B22" s="130">
        <f>B18+B19</f>
        <v>9433.8149999999987</v>
      </c>
      <c r="C22" s="131"/>
      <c r="D22" s="130">
        <f>D18+D19</f>
        <v>9721.2139999999963</v>
      </c>
      <c r="E22" s="131"/>
      <c r="F22" s="130">
        <f>F18+F19</f>
        <v>10312.414000000001</v>
      </c>
      <c r="G22" s="131"/>
      <c r="H22" s="132">
        <f t="shared" si="0"/>
        <v>106.08154495930246</v>
      </c>
    </row>
    <row r="23" spans="1:8" x14ac:dyDescent="0.2">
      <c r="A23" s="508" t="s">
        <v>404</v>
      </c>
      <c r="B23" s="505"/>
      <c r="C23" s="506"/>
      <c r="D23" s="505"/>
      <c r="E23" s="506"/>
      <c r="F23" s="505"/>
      <c r="G23" s="506"/>
      <c r="H23" s="507" t="str">
        <f t="shared" si="0"/>
        <v/>
      </c>
    </row>
    <row r="24" spans="1:8" x14ac:dyDescent="0.2">
      <c r="A24" s="491" t="s">
        <v>21</v>
      </c>
      <c r="B24" s="492">
        <v>6405.8320000000003</v>
      </c>
      <c r="C24" s="493">
        <f t="shared" ref="C24:C30" si="5">IF(B$31&lt;&gt;0,B24*100/B$31,0)</f>
        <v>77.200445137437512</v>
      </c>
      <c r="D24" s="492">
        <v>6515.2150000000001</v>
      </c>
      <c r="E24" s="493">
        <f t="shared" ref="E24:E30" si="6">IF(D$31&lt;&gt;0,D24*100/D$31,0)</f>
        <v>76.572358255608776</v>
      </c>
      <c r="F24" s="492">
        <v>7089.933</v>
      </c>
      <c r="G24" s="493">
        <f t="shared" ref="G24:G30" si="7">IF(F$31&lt;&gt;0,F24*100/F$31,0)</f>
        <v>77.486207816475954</v>
      </c>
      <c r="H24" s="494">
        <f t="shared" si="0"/>
        <v>108.82116706816277</v>
      </c>
    </row>
    <row r="25" spans="1:8" x14ac:dyDescent="0.2">
      <c r="A25" s="491" t="s">
        <v>22</v>
      </c>
      <c r="B25" s="492">
        <v>0</v>
      </c>
      <c r="C25" s="493">
        <f t="shared" si="5"/>
        <v>0</v>
      </c>
      <c r="D25" s="492">
        <v>0</v>
      </c>
      <c r="E25" s="493">
        <f t="shared" si="6"/>
        <v>0</v>
      </c>
      <c r="F25" s="492">
        <v>0</v>
      </c>
      <c r="G25" s="493">
        <f t="shared" si="7"/>
        <v>0</v>
      </c>
      <c r="H25" s="494" t="str">
        <f t="shared" si="0"/>
        <v/>
      </c>
    </row>
    <row r="26" spans="1:8" x14ac:dyDescent="0.2">
      <c r="A26" s="491" t="s">
        <v>23</v>
      </c>
      <c r="B26" s="492">
        <v>601.46100000000001</v>
      </c>
      <c r="C26" s="493">
        <f t="shared" si="5"/>
        <v>7.2485598955464798</v>
      </c>
      <c r="D26" s="492">
        <v>678.33500000000004</v>
      </c>
      <c r="E26" s="493">
        <f t="shared" si="6"/>
        <v>7.9723709251833412</v>
      </c>
      <c r="F26" s="492">
        <v>674.34100000000001</v>
      </c>
      <c r="G26" s="493">
        <f t="shared" si="7"/>
        <v>7.3699041817701545</v>
      </c>
      <c r="H26" s="494">
        <f t="shared" si="0"/>
        <v>99.411205377873756</v>
      </c>
    </row>
    <row r="27" spans="1:8" x14ac:dyDescent="0.2">
      <c r="A27" s="491" t="s">
        <v>223</v>
      </c>
      <c r="B27" s="492">
        <v>52.268000000000001</v>
      </c>
      <c r="C27" s="493">
        <f t="shared" si="5"/>
        <v>0.62991237772760567</v>
      </c>
      <c r="D27" s="492">
        <v>52.268000000000001</v>
      </c>
      <c r="E27" s="493">
        <f t="shared" si="6"/>
        <v>0.61429807324918051</v>
      </c>
      <c r="F27" s="492">
        <v>52.268000000000001</v>
      </c>
      <c r="G27" s="493">
        <f t="shared" si="7"/>
        <v>0.57123940524565819</v>
      </c>
      <c r="H27" s="494">
        <f t="shared" si="0"/>
        <v>100</v>
      </c>
    </row>
    <row r="28" spans="1:8" x14ac:dyDescent="0.2">
      <c r="A28" s="491" t="s">
        <v>24</v>
      </c>
      <c r="B28" s="492">
        <v>186.298</v>
      </c>
      <c r="C28" s="493">
        <f t="shared" si="5"/>
        <v>2.2451866561930336</v>
      </c>
      <c r="D28" s="492">
        <v>197.245</v>
      </c>
      <c r="E28" s="493">
        <f t="shared" si="6"/>
        <v>2.3181913112809869</v>
      </c>
      <c r="F28" s="492">
        <v>194.26599999999999</v>
      </c>
      <c r="G28" s="493">
        <f t="shared" si="7"/>
        <v>2.1231421577151033</v>
      </c>
      <c r="H28" s="494">
        <f t="shared" si="0"/>
        <v>98.489695556287856</v>
      </c>
    </row>
    <row r="29" spans="1:8" x14ac:dyDescent="0.2">
      <c r="A29" s="491" t="s">
        <v>25</v>
      </c>
      <c r="B29" s="492">
        <v>8.32</v>
      </c>
      <c r="C29" s="493">
        <f t="shared" si="5"/>
        <v>0.10026920836254839</v>
      </c>
      <c r="D29" s="492">
        <v>11.224</v>
      </c>
      <c r="E29" s="493">
        <f t="shared" si="6"/>
        <v>0.13191401190305355</v>
      </c>
      <c r="F29" s="492">
        <v>11.228</v>
      </c>
      <c r="G29" s="493">
        <f t="shared" si="7"/>
        <v>0.12271133469997417</v>
      </c>
      <c r="H29" s="494">
        <f t="shared" si="0"/>
        <v>100.03563791874555</v>
      </c>
    </row>
    <row r="30" spans="1:8" x14ac:dyDescent="0.2">
      <c r="A30" s="491" t="s">
        <v>26</v>
      </c>
      <c r="B30" s="492">
        <v>1043.4829999999999</v>
      </c>
      <c r="C30" s="493">
        <f t="shared" si="5"/>
        <v>12.575626724732821</v>
      </c>
      <c r="D30" s="492">
        <v>1054.2860000000001</v>
      </c>
      <c r="E30" s="493">
        <f t="shared" si="6"/>
        <v>12.390867422774653</v>
      </c>
      <c r="F30" s="492">
        <v>1127.893</v>
      </c>
      <c r="G30" s="493">
        <f t="shared" si="7"/>
        <v>12.326795104093158</v>
      </c>
      <c r="H30" s="494">
        <f t="shared" si="0"/>
        <v>106.98169187488024</v>
      </c>
    </row>
    <row r="31" spans="1:8" x14ac:dyDescent="0.2">
      <c r="A31" s="495" t="s">
        <v>493</v>
      </c>
      <c r="B31" s="496">
        <f>SUM(B24:B30)</f>
        <v>8297.6620000000003</v>
      </c>
      <c r="C31" s="497">
        <f t="shared" ref="C31:G31" si="8">SUM(C24:C30)</f>
        <v>100</v>
      </c>
      <c r="D31" s="496">
        <f t="shared" si="8"/>
        <v>8508.5730000000003</v>
      </c>
      <c r="E31" s="497">
        <f t="shared" si="8"/>
        <v>99.999999999999972</v>
      </c>
      <c r="F31" s="496">
        <f t="shared" si="8"/>
        <v>9149.9290000000001</v>
      </c>
      <c r="G31" s="497">
        <f t="shared" si="8"/>
        <v>100</v>
      </c>
      <c r="H31" s="498">
        <f t="shared" si="0"/>
        <v>107.53776220759931</v>
      </c>
    </row>
    <row r="32" spans="1:8" x14ac:dyDescent="0.2">
      <c r="A32" s="491" t="s">
        <v>27</v>
      </c>
      <c r="B32" s="499">
        <f>B33+B34</f>
        <v>1136.153</v>
      </c>
      <c r="C32" s="493"/>
      <c r="D32" s="499">
        <f>D33+D34</f>
        <v>1212.6410000000001</v>
      </c>
      <c r="E32" s="493"/>
      <c r="F32" s="499">
        <f>F33+F34</f>
        <v>1162.4850000000001</v>
      </c>
      <c r="G32" s="493"/>
      <c r="H32" s="494">
        <f t="shared" si="0"/>
        <v>95.863903661512367</v>
      </c>
    </row>
    <row r="33" spans="1:8" x14ac:dyDescent="0.2">
      <c r="A33" s="491" t="s">
        <v>203</v>
      </c>
      <c r="B33" s="492">
        <f>B20</f>
        <v>1063.7660000000001</v>
      </c>
      <c r="C33" s="493"/>
      <c r="D33" s="492">
        <f>D20</f>
        <v>1129.2850000000001</v>
      </c>
      <c r="E33" s="493"/>
      <c r="F33" s="492">
        <f>F20</f>
        <v>1085.2650000000001</v>
      </c>
      <c r="G33" s="493"/>
      <c r="H33" s="494">
        <f t="shared" si="0"/>
        <v>96.101958318759216</v>
      </c>
    </row>
    <row r="34" spans="1:8" x14ac:dyDescent="0.2">
      <c r="A34" s="500" t="s">
        <v>204</v>
      </c>
      <c r="B34" s="501">
        <f>B21</f>
        <v>72.387</v>
      </c>
      <c r="C34" s="502"/>
      <c r="D34" s="501">
        <f>D21</f>
        <v>83.355999999999995</v>
      </c>
      <c r="E34" s="502"/>
      <c r="F34" s="501">
        <f>F21</f>
        <v>77.22</v>
      </c>
      <c r="G34" s="502"/>
      <c r="H34" s="503">
        <f t="shared" si="0"/>
        <v>92.638802245789151</v>
      </c>
    </row>
    <row r="35" spans="1:8" ht="12.75" thickBot="1" x14ac:dyDescent="0.25">
      <c r="A35" s="133" t="s">
        <v>494</v>
      </c>
      <c r="B35" s="134">
        <f>B31+B32</f>
        <v>9433.8150000000005</v>
      </c>
      <c r="C35" s="135"/>
      <c r="D35" s="134">
        <f>D31+D32</f>
        <v>9721.2139999999999</v>
      </c>
      <c r="E35" s="135"/>
      <c r="F35" s="134">
        <f>F31+F32</f>
        <v>10312.414000000001</v>
      </c>
      <c r="G35" s="135"/>
      <c r="H35" s="136">
        <f t="shared" si="0"/>
        <v>106.08154495930242</v>
      </c>
    </row>
  </sheetData>
  <customSheetViews>
    <customSheetView guid="{5507C501-9942-4310-9E0E-987180BD1180}">
      <selection activeCell="L31" sqref="L31"/>
      <pageMargins left="0.7" right="0.7" top="0.75" bottom="0.75" header="0.3" footer="0.3"/>
    </customSheetView>
    <customSheetView guid="{54A0E5BB-5A66-4415-88CA-030F3BDE4337}">
      <selection activeCell="A4" sqref="A4:H4"/>
      <pageMargins left="0.7" right="0.7" top="0.75" bottom="0.75" header="0.3" footer="0.3"/>
    </customSheetView>
  </customSheetViews>
  <mergeCells count="5">
    <mergeCell ref="F4:G4"/>
    <mergeCell ref="A4:A5"/>
    <mergeCell ref="B4:C4"/>
    <mergeCell ref="D4:E4"/>
    <mergeCell ref="H4:H5"/>
  </mergeCells>
  <pageMargins left="0.7" right="0.7" top="0.75" bottom="0.75" header="0.3" footer="0.3"/>
  <pageSetup paperSize="9" scale="98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K31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8.5703125" style="4" customWidth="1"/>
    <col min="2" max="10" width="7.7109375" style="4" customWidth="1"/>
    <col min="11" max="11" width="8.28515625" style="4" customWidth="1"/>
    <col min="12" max="16384" width="9.140625" style="4"/>
  </cols>
  <sheetData>
    <row r="1" spans="1:11" x14ac:dyDescent="0.2">
      <c r="K1" s="665" t="s">
        <v>533</v>
      </c>
    </row>
    <row r="2" spans="1:11" ht="15" customHeight="1" x14ac:dyDescent="0.2">
      <c r="A2" s="435" t="s">
        <v>339</v>
      </c>
      <c r="B2" s="478"/>
      <c r="C2" s="435"/>
      <c r="D2" s="435"/>
      <c r="E2" s="435"/>
      <c r="F2" s="435"/>
      <c r="G2" s="435"/>
      <c r="H2" s="435"/>
      <c r="I2" s="435"/>
      <c r="J2" s="435"/>
      <c r="K2" s="757" t="s">
        <v>496</v>
      </c>
    </row>
    <row r="3" spans="1:11" ht="15" customHeight="1" x14ac:dyDescent="0.2">
      <c r="A3" s="885" t="s">
        <v>240</v>
      </c>
      <c r="B3" s="887" t="s">
        <v>243</v>
      </c>
      <c r="C3" s="888"/>
      <c r="D3" s="888"/>
      <c r="E3" s="878" t="s">
        <v>213</v>
      </c>
      <c r="F3" s="887" t="s">
        <v>244</v>
      </c>
      <c r="G3" s="888"/>
      <c r="H3" s="888"/>
      <c r="I3" s="878" t="s">
        <v>245</v>
      </c>
      <c r="J3" s="877" t="s">
        <v>246</v>
      </c>
      <c r="K3" s="781" t="s">
        <v>497</v>
      </c>
    </row>
    <row r="4" spans="1:11" x14ac:dyDescent="0.2">
      <c r="A4" s="886"/>
      <c r="B4" s="259">
        <v>1</v>
      </c>
      <c r="C4" s="436">
        <v>2</v>
      </c>
      <c r="D4" s="436">
        <v>3</v>
      </c>
      <c r="E4" s="889"/>
      <c r="F4" s="436">
        <v>1</v>
      </c>
      <c r="G4" s="436">
        <v>2</v>
      </c>
      <c r="H4" s="436">
        <v>3</v>
      </c>
      <c r="I4" s="889"/>
      <c r="J4" s="890"/>
      <c r="K4" s="790"/>
    </row>
    <row r="5" spans="1:11" x14ac:dyDescent="0.2">
      <c r="A5" s="174" t="s">
        <v>247</v>
      </c>
      <c r="B5" s="545">
        <f>SUM(B6:B26)</f>
        <v>2385.9920000000006</v>
      </c>
      <c r="C5" s="546">
        <f t="shared" ref="C5:D5" si="0">SUM(C6:C26)</f>
        <v>384.50700000000006</v>
      </c>
      <c r="D5" s="546">
        <f t="shared" si="0"/>
        <v>136.22800000000001</v>
      </c>
      <c r="E5" s="547">
        <f t="shared" ref="E5:E31" si="1">B5+C5+D5</f>
        <v>2906.7270000000008</v>
      </c>
      <c r="F5" s="546">
        <f>SUM(F6:F26)</f>
        <v>32.724000000000004</v>
      </c>
      <c r="G5" s="546">
        <f t="shared" ref="G5" si="2">SUM(G6:G26)</f>
        <v>38.364999999999995</v>
      </c>
      <c r="H5" s="546">
        <f t="shared" ref="H5" si="3">SUM(H6:H26)</f>
        <v>106.55300000000001</v>
      </c>
      <c r="I5" s="547">
        <f t="shared" ref="I5:I31" si="4">F5+G5+H5</f>
        <v>177.642</v>
      </c>
      <c r="J5" s="548">
        <f t="shared" ref="J5:J31" si="5">IF(E5&lt;&gt;0,D5*100/E5,"-")</f>
        <v>4.6866458391173298</v>
      </c>
      <c r="K5" s="548">
        <f t="shared" ref="K5:K31" si="6">IF(D5&lt;&gt;0,H5*100/D5,"-")</f>
        <v>78.216666177291017</v>
      </c>
    </row>
    <row r="6" spans="1:11" x14ac:dyDescent="0.2">
      <c r="A6" s="540" t="s">
        <v>248</v>
      </c>
      <c r="B6" s="541">
        <v>68.096000000000004</v>
      </c>
      <c r="C6" s="542">
        <v>7.6440000000000001</v>
      </c>
      <c r="D6" s="542">
        <v>5.2489999999999997</v>
      </c>
      <c r="E6" s="543">
        <f t="shared" si="1"/>
        <v>80.989000000000004</v>
      </c>
      <c r="F6" s="542">
        <v>1.1419999999999999</v>
      </c>
      <c r="G6" s="542">
        <v>1.304</v>
      </c>
      <c r="H6" s="542">
        <v>4.7450000000000001</v>
      </c>
      <c r="I6" s="543">
        <f t="shared" si="4"/>
        <v>7.1909999999999998</v>
      </c>
      <c r="J6" s="544">
        <f t="shared" si="5"/>
        <v>6.4811270666386784</v>
      </c>
      <c r="K6" s="544">
        <f t="shared" si="6"/>
        <v>90.398171080205756</v>
      </c>
    </row>
    <row r="7" spans="1:11" x14ac:dyDescent="0.2">
      <c r="A7" s="524" t="s">
        <v>249</v>
      </c>
      <c r="B7" s="525">
        <v>28.478999999999999</v>
      </c>
      <c r="C7" s="526">
        <v>8.5890000000000004</v>
      </c>
      <c r="D7" s="526">
        <v>0.47299999999999998</v>
      </c>
      <c r="E7" s="527">
        <f t="shared" si="1"/>
        <v>37.540999999999997</v>
      </c>
      <c r="F7" s="526">
        <v>0.61399999999999999</v>
      </c>
      <c r="G7" s="526">
        <v>0.55900000000000005</v>
      </c>
      <c r="H7" s="526">
        <v>0.47299999999999998</v>
      </c>
      <c r="I7" s="527">
        <f t="shared" si="4"/>
        <v>1.6459999999999999</v>
      </c>
      <c r="J7" s="528">
        <f t="shared" si="5"/>
        <v>1.2599557816786979</v>
      </c>
      <c r="K7" s="528">
        <f t="shared" si="6"/>
        <v>100</v>
      </c>
    </row>
    <row r="8" spans="1:11" x14ac:dyDescent="0.2">
      <c r="A8" s="524" t="s">
        <v>250</v>
      </c>
      <c r="B8" s="525">
        <v>356.488</v>
      </c>
      <c r="C8" s="526">
        <v>92.073999999999998</v>
      </c>
      <c r="D8" s="526">
        <v>44.119</v>
      </c>
      <c r="E8" s="527">
        <f t="shared" si="1"/>
        <v>492.68100000000004</v>
      </c>
      <c r="F8" s="526">
        <v>6.298</v>
      </c>
      <c r="G8" s="526">
        <v>10.63</v>
      </c>
      <c r="H8" s="526">
        <v>35.18</v>
      </c>
      <c r="I8" s="527">
        <f t="shared" si="4"/>
        <v>52.108000000000004</v>
      </c>
      <c r="J8" s="528">
        <f t="shared" si="5"/>
        <v>8.9548815562199469</v>
      </c>
      <c r="K8" s="528">
        <f t="shared" si="6"/>
        <v>79.73888800743444</v>
      </c>
    </row>
    <row r="9" spans="1:11" ht="24" x14ac:dyDescent="0.2">
      <c r="A9" s="524" t="s">
        <v>251</v>
      </c>
      <c r="B9" s="525">
        <v>127.554</v>
      </c>
      <c r="C9" s="526">
        <v>18.201000000000001</v>
      </c>
      <c r="D9" s="526">
        <v>0.29099999999999998</v>
      </c>
      <c r="E9" s="527">
        <f t="shared" si="1"/>
        <v>146.04599999999999</v>
      </c>
      <c r="F9" s="526">
        <v>1.42</v>
      </c>
      <c r="G9" s="526">
        <v>1.6879999999999999</v>
      </c>
      <c r="H9" s="526">
        <v>0.22</v>
      </c>
      <c r="I9" s="527">
        <f t="shared" si="4"/>
        <v>3.3279999999999998</v>
      </c>
      <c r="J9" s="528">
        <f t="shared" si="5"/>
        <v>0.19925229037426564</v>
      </c>
      <c r="K9" s="528">
        <f t="shared" si="6"/>
        <v>75.601374570446737</v>
      </c>
    </row>
    <row r="10" spans="1:11" ht="24" x14ac:dyDescent="0.2">
      <c r="A10" s="524" t="s">
        <v>252</v>
      </c>
      <c r="B10" s="525">
        <v>18.553000000000001</v>
      </c>
      <c r="C10" s="526">
        <v>6.6609999999999996</v>
      </c>
      <c r="D10" s="526">
        <v>0.94099999999999995</v>
      </c>
      <c r="E10" s="527">
        <f t="shared" si="1"/>
        <v>26.154999999999998</v>
      </c>
      <c r="F10" s="526">
        <v>0.314</v>
      </c>
      <c r="G10" s="526">
        <v>0.72899999999999998</v>
      </c>
      <c r="H10" s="526">
        <v>0.85599999999999998</v>
      </c>
      <c r="I10" s="527">
        <f t="shared" si="4"/>
        <v>1.899</v>
      </c>
      <c r="J10" s="528">
        <f t="shared" si="5"/>
        <v>3.5977824507742309</v>
      </c>
      <c r="K10" s="528">
        <f t="shared" si="6"/>
        <v>90.967056323060575</v>
      </c>
    </row>
    <row r="11" spans="1:11" x14ac:dyDescent="0.2">
      <c r="A11" s="524" t="s">
        <v>253</v>
      </c>
      <c r="B11" s="525">
        <v>211.98500000000001</v>
      </c>
      <c r="C11" s="526">
        <v>44.970999999999997</v>
      </c>
      <c r="D11" s="526">
        <v>10.369</v>
      </c>
      <c r="E11" s="527">
        <f t="shared" si="1"/>
        <v>267.32500000000005</v>
      </c>
      <c r="F11" s="526">
        <v>2.8</v>
      </c>
      <c r="G11" s="526">
        <v>4.5069999999999997</v>
      </c>
      <c r="H11" s="526">
        <v>5.9870000000000001</v>
      </c>
      <c r="I11" s="527">
        <f t="shared" si="4"/>
        <v>13.294</v>
      </c>
      <c r="J11" s="528">
        <f t="shared" si="5"/>
        <v>3.8787992144393524</v>
      </c>
      <c r="K11" s="528">
        <f t="shared" si="6"/>
        <v>57.73941556562832</v>
      </c>
    </row>
    <row r="12" spans="1:11" ht="24" x14ac:dyDescent="0.2">
      <c r="A12" s="524" t="s">
        <v>254</v>
      </c>
      <c r="B12" s="525">
        <v>507.88200000000001</v>
      </c>
      <c r="C12" s="526">
        <v>65.725999999999999</v>
      </c>
      <c r="D12" s="526">
        <v>56.097000000000001</v>
      </c>
      <c r="E12" s="527">
        <f t="shared" si="1"/>
        <v>629.70499999999993</v>
      </c>
      <c r="F12" s="526">
        <v>7.1520000000000001</v>
      </c>
      <c r="G12" s="526">
        <v>5.7469999999999999</v>
      </c>
      <c r="H12" s="526">
        <v>47.673000000000002</v>
      </c>
      <c r="I12" s="527">
        <f t="shared" si="4"/>
        <v>60.572000000000003</v>
      </c>
      <c r="J12" s="528">
        <f t="shared" si="5"/>
        <v>8.9084571346900532</v>
      </c>
      <c r="K12" s="528">
        <f t="shared" si="6"/>
        <v>84.983154179367887</v>
      </c>
    </row>
    <row r="13" spans="1:11" x14ac:dyDescent="0.2">
      <c r="A13" s="524" t="s">
        <v>255</v>
      </c>
      <c r="B13" s="525">
        <v>77.066000000000003</v>
      </c>
      <c r="C13" s="526">
        <v>30.849</v>
      </c>
      <c r="D13" s="526">
        <v>3.9860000000000002</v>
      </c>
      <c r="E13" s="527">
        <f t="shared" si="1"/>
        <v>111.90100000000001</v>
      </c>
      <c r="F13" s="526">
        <v>1.43</v>
      </c>
      <c r="G13" s="526">
        <v>2.8159999999999998</v>
      </c>
      <c r="H13" s="526">
        <v>3.2930000000000001</v>
      </c>
      <c r="I13" s="527">
        <f t="shared" si="4"/>
        <v>7.5389999999999997</v>
      </c>
      <c r="J13" s="528">
        <f t="shared" si="5"/>
        <v>3.5620771932333044</v>
      </c>
      <c r="K13" s="528">
        <f t="shared" si="6"/>
        <v>82.614149523331662</v>
      </c>
    </row>
    <row r="14" spans="1:11" ht="24" x14ac:dyDescent="0.2">
      <c r="A14" s="524" t="s">
        <v>256</v>
      </c>
      <c r="B14" s="525">
        <v>29.361000000000001</v>
      </c>
      <c r="C14" s="526">
        <v>34.716999999999999</v>
      </c>
      <c r="D14" s="526">
        <v>6.3159999999999998</v>
      </c>
      <c r="E14" s="527">
        <f t="shared" si="1"/>
        <v>70.394000000000005</v>
      </c>
      <c r="F14" s="526">
        <v>0.40500000000000003</v>
      </c>
      <c r="G14" s="526">
        <v>4.2519999999999998</v>
      </c>
      <c r="H14" s="526">
        <v>1.8129999999999999</v>
      </c>
      <c r="I14" s="527">
        <f t="shared" si="4"/>
        <v>6.47</v>
      </c>
      <c r="J14" s="528">
        <f t="shared" si="5"/>
        <v>8.9723555984885071</v>
      </c>
      <c r="K14" s="528">
        <f t="shared" si="6"/>
        <v>28.704876504116527</v>
      </c>
    </row>
    <row r="15" spans="1:11" x14ac:dyDescent="0.2">
      <c r="A15" s="524" t="s">
        <v>257</v>
      </c>
      <c r="B15" s="525">
        <v>128.297</v>
      </c>
      <c r="C15" s="526">
        <v>5.0229999999999997</v>
      </c>
      <c r="D15" s="526">
        <v>0.253</v>
      </c>
      <c r="E15" s="527">
        <f t="shared" si="1"/>
        <v>133.57299999999998</v>
      </c>
      <c r="F15" s="526">
        <v>1.639</v>
      </c>
      <c r="G15" s="526">
        <v>0.28999999999999998</v>
      </c>
      <c r="H15" s="526">
        <v>0.218</v>
      </c>
      <c r="I15" s="527">
        <f t="shared" si="4"/>
        <v>2.1470000000000002</v>
      </c>
      <c r="J15" s="528">
        <f t="shared" si="5"/>
        <v>0.18940953635839583</v>
      </c>
      <c r="K15" s="528">
        <f t="shared" si="6"/>
        <v>86.166007905138343</v>
      </c>
    </row>
    <row r="16" spans="1:11" x14ac:dyDescent="0.2">
      <c r="A16" s="524" t="s">
        <v>258</v>
      </c>
      <c r="B16" s="525">
        <v>85.328999999999994</v>
      </c>
      <c r="C16" s="526">
        <v>6.766</v>
      </c>
      <c r="D16" s="526">
        <v>0.43099999999999999</v>
      </c>
      <c r="E16" s="527">
        <f t="shared" si="1"/>
        <v>92.525999999999996</v>
      </c>
      <c r="F16" s="526">
        <v>1.0740000000000001</v>
      </c>
      <c r="G16" s="526">
        <v>1.403</v>
      </c>
      <c r="H16" s="526">
        <v>0.43099999999999999</v>
      </c>
      <c r="I16" s="527">
        <f t="shared" si="4"/>
        <v>2.9080000000000004</v>
      </c>
      <c r="J16" s="528">
        <f t="shared" si="5"/>
        <v>0.46581501415818261</v>
      </c>
      <c r="K16" s="528">
        <f t="shared" si="6"/>
        <v>100</v>
      </c>
    </row>
    <row r="17" spans="1:11" x14ac:dyDescent="0.2">
      <c r="A17" s="524" t="s">
        <v>259</v>
      </c>
      <c r="B17" s="525">
        <v>18.59</v>
      </c>
      <c r="C17" s="526">
        <v>10.081</v>
      </c>
      <c r="D17" s="526">
        <v>0.34499999999999997</v>
      </c>
      <c r="E17" s="527">
        <f t="shared" si="1"/>
        <v>29.015999999999998</v>
      </c>
      <c r="F17" s="526">
        <v>0.19700000000000001</v>
      </c>
      <c r="G17" s="526">
        <v>0.76300000000000001</v>
      </c>
      <c r="H17" s="526">
        <v>0.251</v>
      </c>
      <c r="I17" s="527">
        <f t="shared" si="4"/>
        <v>1.2109999999999999</v>
      </c>
      <c r="J17" s="528">
        <f t="shared" si="5"/>
        <v>1.1889991728701408</v>
      </c>
      <c r="K17" s="528">
        <f t="shared" si="6"/>
        <v>72.753623188405811</v>
      </c>
    </row>
    <row r="18" spans="1:11" x14ac:dyDescent="0.2">
      <c r="A18" s="524" t="s">
        <v>260</v>
      </c>
      <c r="B18" s="525">
        <v>51.215000000000003</v>
      </c>
      <c r="C18" s="526">
        <v>16.757000000000001</v>
      </c>
      <c r="D18" s="526">
        <v>3.1150000000000002</v>
      </c>
      <c r="E18" s="527">
        <f t="shared" si="1"/>
        <v>71.087000000000003</v>
      </c>
      <c r="F18" s="526">
        <v>0.63700000000000001</v>
      </c>
      <c r="G18" s="526">
        <v>1.429</v>
      </c>
      <c r="H18" s="526">
        <v>2.8759999999999999</v>
      </c>
      <c r="I18" s="527">
        <f t="shared" si="4"/>
        <v>4.9420000000000002</v>
      </c>
      <c r="J18" s="528">
        <f t="shared" si="5"/>
        <v>4.3819545064498433</v>
      </c>
      <c r="K18" s="528">
        <f t="shared" si="6"/>
        <v>92.32744783306579</v>
      </c>
    </row>
    <row r="19" spans="1:11" x14ac:dyDescent="0.2">
      <c r="A19" s="524" t="s">
        <v>261</v>
      </c>
      <c r="B19" s="525">
        <v>15.826000000000001</v>
      </c>
      <c r="C19" s="526">
        <v>2.899</v>
      </c>
      <c r="D19" s="526">
        <v>0.878</v>
      </c>
      <c r="E19" s="527">
        <f t="shared" si="1"/>
        <v>19.603000000000002</v>
      </c>
      <c r="F19" s="526">
        <v>0.27600000000000002</v>
      </c>
      <c r="G19" s="526">
        <v>0.29499999999999998</v>
      </c>
      <c r="H19" s="526">
        <v>0.84099999999999997</v>
      </c>
      <c r="I19" s="527">
        <f t="shared" si="4"/>
        <v>1.4119999999999999</v>
      </c>
      <c r="J19" s="528">
        <f t="shared" si="5"/>
        <v>4.478906289853593</v>
      </c>
      <c r="K19" s="528">
        <f t="shared" si="6"/>
        <v>95.785876993166283</v>
      </c>
    </row>
    <row r="20" spans="1:11" x14ac:dyDescent="0.2">
      <c r="A20" s="524" t="s">
        <v>262</v>
      </c>
      <c r="B20" s="525">
        <v>581.40899999999999</v>
      </c>
      <c r="C20" s="526">
        <v>8.5660000000000007</v>
      </c>
      <c r="D20" s="526">
        <v>2.21</v>
      </c>
      <c r="E20" s="527">
        <f t="shared" si="1"/>
        <v>592.18500000000006</v>
      </c>
      <c r="F20" s="526">
        <v>6.5289999999999999</v>
      </c>
      <c r="G20" s="526">
        <v>0.56699999999999995</v>
      </c>
      <c r="H20" s="526">
        <v>0.93899999999999995</v>
      </c>
      <c r="I20" s="527">
        <f t="shared" si="4"/>
        <v>8.0350000000000001</v>
      </c>
      <c r="J20" s="528">
        <f t="shared" si="5"/>
        <v>0.37319418762717727</v>
      </c>
      <c r="K20" s="528">
        <f t="shared" si="6"/>
        <v>42.488687782805428</v>
      </c>
    </row>
    <row r="21" spans="1:11" x14ac:dyDescent="0.2">
      <c r="A21" s="524" t="s">
        <v>263</v>
      </c>
      <c r="B21" s="525">
        <v>1.885</v>
      </c>
      <c r="C21" s="526">
        <v>1.9139999999999999</v>
      </c>
      <c r="D21" s="526">
        <v>0.85799999999999998</v>
      </c>
      <c r="E21" s="527">
        <f t="shared" si="1"/>
        <v>4.657</v>
      </c>
      <c r="F21" s="526">
        <v>1.6E-2</v>
      </c>
      <c r="G21" s="526">
        <v>9.9000000000000005E-2</v>
      </c>
      <c r="H21" s="526">
        <v>0.52</v>
      </c>
      <c r="I21" s="527">
        <f t="shared" si="4"/>
        <v>0.63500000000000001</v>
      </c>
      <c r="J21" s="528">
        <f t="shared" si="5"/>
        <v>18.423878033068497</v>
      </c>
      <c r="K21" s="528">
        <f t="shared" si="6"/>
        <v>60.606060606060609</v>
      </c>
    </row>
    <row r="22" spans="1:11" x14ac:dyDescent="0.2">
      <c r="A22" s="524" t="s">
        <v>264</v>
      </c>
      <c r="B22" s="525">
        <v>60.911000000000001</v>
      </c>
      <c r="C22" s="526">
        <v>19.388999999999999</v>
      </c>
      <c r="D22" s="526">
        <v>0.125</v>
      </c>
      <c r="E22" s="527">
        <f t="shared" si="1"/>
        <v>80.424999999999997</v>
      </c>
      <c r="F22" s="526">
        <v>0.47699999999999998</v>
      </c>
      <c r="G22" s="526">
        <v>1.044</v>
      </c>
      <c r="H22" s="526">
        <v>6.9000000000000006E-2</v>
      </c>
      <c r="I22" s="527">
        <f t="shared" si="4"/>
        <v>1.5899999999999999</v>
      </c>
      <c r="J22" s="528">
        <f t="shared" si="5"/>
        <v>0.1554243083618278</v>
      </c>
      <c r="K22" s="528">
        <f t="shared" si="6"/>
        <v>55.2</v>
      </c>
    </row>
    <row r="23" spans="1:11" x14ac:dyDescent="0.2">
      <c r="A23" s="524" t="s">
        <v>265</v>
      </c>
      <c r="B23" s="525">
        <v>9.9670000000000005</v>
      </c>
      <c r="C23" s="526">
        <v>2.2130000000000001</v>
      </c>
      <c r="D23" s="526">
        <v>1.0999999999999999E-2</v>
      </c>
      <c r="E23" s="527">
        <f t="shared" si="1"/>
        <v>12.190999999999999</v>
      </c>
      <c r="F23" s="526">
        <v>8.8999999999999996E-2</v>
      </c>
      <c r="G23" s="526">
        <v>0.13</v>
      </c>
      <c r="H23" s="526">
        <v>7.0000000000000001E-3</v>
      </c>
      <c r="I23" s="527">
        <f t="shared" si="4"/>
        <v>0.22600000000000001</v>
      </c>
      <c r="J23" s="528">
        <f t="shared" si="5"/>
        <v>9.0230497908293003E-2</v>
      </c>
      <c r="K23" s="528">
        <f t="shared" si="6"/>
        <v>63.636363636363647</v>
      </c>
    </row>
    <row r="24" spans="1:11" x14ac:dyDescent="0.2">
      <c r="A24" s="524" t="s">
        <v>266</v>
      </c>
      <c r="B24" s="525">
        <v>7.0990000000000002</v>
      </c>
      <c r="C24" s="526">
        <v>1.4670000000000001</v>
      </c>
      <c r="D24" s="526">
        <v>0.161</v>
      </c>
      <c r="E24" s="527">
        <f t="shared" si="1"/>
        <v>8.7270000000000003</v>
      </c>
      <c r="F24" s="526">
        <v>0.215</v>
      </c>
      <c r="G24" s="526">
        <v>0.113</v>
      </c>
      <c r="H24" s="526">
        <v>0.161</v>
      </c>
      <c r="I24" s="527">
        <f t="shared" si="4"/>
        <v>0.48899999999999999</v>
      </c>
      <c r="J24" s="528">
        <f t="shared" si="5"/>
        <v>1.8448493182078607</v>
      </c>
      <c r="K24" s="528">
        <f t="shared" si="6"/>
        <v>100</v>
      </c>
    </row>
    <row r="25" spans="1:11" ht="36" x14ac:dyDescent="0.2">
      <c r="A25" s="524" t="s">
        <v>267</v>
      </c>
      <c r="B25" s="525">
        <v>0</v>
      </c>
      <c r="C25" s="526">
        <v>0</v>
      </c>
      <c r="D25" s="526">
        <v>0</v>
      </c>
      <c r="E25" s="527">
        <f t="shared" si="1"/>
        <v>0</v>
      </c>
      <c r="F25" s="526">
        <v>0</v>
      </c>
      <c r="G25" s="526">
        <v>0</v>
      </c>
      <c r="H25" s="526">
        <v>0</v>
      </c>
      <c r="I25" s="527">
        <f t="shared" si="4"/>
        <v>0</v>
      </c>
      <c r="J25" s="528" t="str">
        <f t="shared" si="5"/>
        <v>-</v>
      </c>
      <c r="K25" s="528" t="str">
        <f t="shared" si="6"/>
        <v>-</v>
      </c>
    </row>
    <row r="26" spans="1:11" x14ac:dyDescent="0.2">
      <c r="A26" s="529" t="s">
        <v>268</v>
      </c>
      <c r="B26" s="530">
        <v>0</v>
      </c>
      <c r="C26" s="531">
        <v>0</v>
      </c>
      <c r="D26" s="531">
        <v>0</v>
      </c>
      <c r="E26" s="532">
        <f t="shared" si="1"/>
        <v>0</v>
      </c>
      <c r="F26" s="531">
        <v>0</v>
      </c>
      <c r="G26" s="531">
        <v>0</v>
      </c>
      <c r="H26" s="531">
        <v>0</v>
      </c>
      <c r="I26" s="532">
        <f t="shared" si="4"/>
        <v>0</v>
      </c>
      <c r="J26" s="533" t="str">
        <f t="shared" si="5"/>
        <v>-</v>
      </c>
      <c r="K26" s="533" t="str">
        <f t="shared" si="6"/>
        <v>-</v>
      </c>
    </row>
    <row r="27" spans="1:11" x14ac:dyDescent="0.2">
      <c r="A27" s="174" t="s">
        <v>269</v>
      </c>
      <c r="B27" s="545">
        <f>SUM(B28:B30)</f>
        <v>2273.0300000000002</v>
      </c>
      <c r="C27" s="546">
        <f t="shared" ref="C27:D27" si="7">SUM(C28:C30)</f>
        <v>303.09000000000003</v>
      </c>
      <c r="D27" s="546">
        <f t="shared" si="7"/>
        <v>122.354</v>
      </c>
      <c r="E27" s="547">
        <f t="shared" si="1"/>
        <v>2698.4740000000002</v>
      </c>
      <c r="F27" s="546">
        <f>SUM(F28:F30)</f>
        <v>29.151</v>
      </c>
      <c r="G27" s="546">
        <f t="shared" ref="G27" si="8">SUM(G28:G30)</f>
        <v>30.481000000000002</v>
      </c>
      <c r="H27" s="546">
        <f t="shared" ref="H27" si="9">SUM(H28:H30)</f>
        <v>103.82300000000001</v>
      </c>
      <c r="I27" s="547">
        <f t="shared" si="4"/>
        <v>163.45500000000001</v>
      </c>
      <c r="J27" s="548">
        <f t="shared" si="5"/>
        <v>4.534192287937552</v>
      </c>
      <c r="K27" s="548">
        <f t="shared" si="6"/>
        <v>84.854602219788489</v>
      </c>
    </row>
    <row r="28" spans="1:11" x14ac:dyDescent="0.2">
      <c r="A28" s="540" t="s">
        <v>270</v>
      </c>
      <c r="B28" s="541">
        <v>1405.932</v>
      </c>
      <c r="C28" s="542">
        <v>230.05099999999999</v>
      </c>
      <c r="D28" s="542">
        <v>91.448999999999998</v>
      </c>
      <c r="E28" s="543">
        <f t="shared" si="1"/>
        <v>1727.432</v>
      </c>
      <c r="F28" s="542">
        <v>22.452000000000002</v>
      </c>
      <c r="G28" s="542">
        <v>23.41</v>
      </c>
      <c r="H28" s="542">
        <v>80.254000000000005</v>
      </c>
      <c r="I28" s="543">
        <f t="shared" si="4"/>
        <v>126.11600000000001</v>
      </c>
      <c r="J28" s="544">
        <f t="shared" si="5"/>
        <v>5.29392763362031</v>
      </c>
      <c r="K28" s="544">
        <f t="shared" si="6"/>
        <v>87.758204026287885</v>
      </c>
    </row>
    <row r="29" spans="1:11" x14ac:dyDescent="0.2">
      <c r="A29" s="524" t="s">
        <v>271</v>
      </c>
      <c r="B29" s="525">
        <v>715.77200000000005</v>
      </c>
      <c r="C29" s="526">
        <v>37.701000000000001</v>
      </c>
      <c r="D29" s="526">
        <v>15.911</v>
      </c>
      <c r="E29" s="527">
        <f t="shared" si="1"/>
        <v>769.38400000000001</v>
      </c>
      <c r="F29" s="526">
        <v>4.2060000000000004</v>
      </c>
      <c r="G29" s="526">
        <v>3.91</v>
      </c>
      <c r="H29" s="526">
        <v>12.644</v>
      </c>
      <c r="I29" s="527">
        <f t="shared" si="4"/>
        <v>20.759999999999998</v>
      </c>
      <c r="J29" s="528">
        <f t="shared" si="5"/>
        <v>2.0680180508042798</v>
      </c>
      <c r="K29" s="528">
        <f t="shared" si="6"/>
        <v>79.467035384325314</v>
      </c>
    </row>
    <row r="30" spans="1:11" x14ac:dyDescent="0.2">
      <c r="A30" s="534" t="s">
        <v>272</v>
      </c>
      <c r="B30" s="535">
        <v>151.32599999999999</v>
      </c>
      <c r="C30" s="536">
        <v>35.338000000000001</v>
      </c>
      <c r="D30" s="536">
        <v>14.994</v>
      </c>
      <c r="E30" s="537">
        <f t="shared" si="1"/>
        <v>201.65799999999999</v>
      </c>
      <c r="F30" s="536">
        <v>2.4929999999999999</v>
      </c>
      <c r="G30" s="536">
        <v>3.161</v>
      </c>
      <c r="H30" s="536">
        <v>10.925000000000001</v>
      </c>
      <c r="I30" s="537">
        <f t="shared" si="4"/>
        <v>16.579000000000001</v>
      </c>
      <c r="J30" s="538">
        <f t="shared" si="5"/>
        <v>7.4353608584831754</v>
      </c>
      <c r="K30" s="538">
        <f t="shared" si="6"/>
        <v>72.862478324663201</v>
      </c>
    </row>
    <row r="31" spans="1:11" ht="12.75" thickBot="1" x14ac:dyDescent="0.25">
      <c r="A31" s="143" t="s">
        <v>273</v>
      </c>
      <c r="B31" s="144">
        <f>B5+B27</f>
        <v>4659.0220000000008</v>
      </c>
      <c r="C31" s="476">
        <f t="shared" ref="C31:D31" si="10">C5+C27</f>
        <v>687.59700000000009</v>
      </c>
      <c r="D31" s="476">
        <f t="shared" si="10"/>
        <v>258.58199999999999</v>
      </c>
      <c r="E31" s="475">
        <f t="shared" si="1"/>
        <v>5605.2010000000009</v>
      </c>
      <c r="F31" s="476">
        <f>F5+F27</f>
        <v>61.875</v>
      </c>
      <c r="G31" s="476">
        <f t="shared" ref="G31:H31" si="11">G5+G27</f>
        <v>68.846000000000004</v>
      </c>
      <c r="H31" s="476">
        <f t="shared" si="11"/>
        <v>210.37600000000003</v>
      </c>
      <c r="I31" s="475">
        <f t="shared" si="4"/>
        <v>341.09700000000004</v>
      </c>
      <c r="J31" s="539">
        <f t="shared" si="5"/>
        <v>4.6132511572733961</v>
      </c>
      <c r="K31" s="539">
        <f t="shared" si="6"/>
        <v>81.357557757307177</v>
      </c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29"/>
  <sheetViews>
    <sheetView zoomScaleNormal="100" workbookViewId="0"/>
  </sheetViews>
  <sheetFormatPr defaultRowHeight="15" x14ac:dyDescent="0.25"/>
  <cols>
    <col min="1" max="1" width="23.42578125" customWidth="1"/>
    <col min="2" max="3" width="7.5703125" customWidth="1"/>
    <col min="4" max="4" width="9.7109375" customWidth="1"/>
    <col min="5" max="7" width="7.5703125" customWidth="1"/>
    <col min="8" max="8" width="9.5703125" customWidth="1"/>
    <col min="9" max="9" width="8.28515625" customWidth="1"/>
    <col min="10" max="10" width="25.85546875" customWidth="1"/>
  </cols>
  <sheetData>
    <row r="1" spans="1:10" s="14" customFormat="1" x14ac:dyDescent="0.25">
      <c r="A1" s="81" t="s">
        <v>331</v>
      </c>
      <c r="B1" s="81"/>
      <c r="C1" s="81"/>
      <c r="D1" s="81"/>
      <c r="E1" s="81"/>
      <c r="F1" s="81"/>
      <c r="G1" s="81"/>
      <c r="H1" s="81"/>
      <c r="I1" s="80" t="s">
        <v>3</v>
      </c>
    </row>
    <row r="2" spans="1:10" s="14" customFormat="1" x14ac:dyDescent="0.25">
      <c r="A2" s="765" t="s">
        <v>7</v>
      </c>
      <c r="B2" s="768" t="s">
        <v>532</v>
      </c>
      <c r="C2" s="769"/>
      <c r="D2" s="769"/>
      <c r="E2" s="770"/>
      <c r="F2" s="769" t="s">
        <v>533</v>
      </c>
      <c r="G2" s="769"/>
      <c r="H2" s="769"/>
      <c r="I2" s="769"/>
    </row>
    <row r="3" spans="1:10" ht="15" customHeight="1" x14ac:dyDescent="0.25">
      <c r="A3" s="766"/>
      <c r="B3" s="771" t="s">
        <v>241</v>
      </c>
      <c r="C3" s="772"/>
      <c r="D3" s="772"/>
      <c r="E3" s="773" t="s">
        <v>8</v>
      </c>
      <c r="F3" s="772" t="s">
        <v>241</v>
      </c>
      <c r="G3" s="772"/>
      <c r="H3" s="772"/>
      <c r="I3" s="775" t="s">
        <v>8</v>
      </c>
    </row>
    <row r="4" spans="1:10" ht="33.75" x14ac:dyDescent="0.25">
      <c r="A4" s="767"/>
      <c r="B4" s="83" t="s">
        <v>401</v>
      </c>
      <c r="C4" s="84" t="s">
        <v>402</v>
      </c>
      <c r="D4" s="84" t="s">
        <v>403</v>
      </c>
      <c r="E4" s="774"/>
      <c r="F4" s="84" t="s">
        <v>401</v>
      </c>
      <c r="G4" s="84" t="s">
        <v>402</v>
      </c>
      <c r="H4" s="84" t="s">
        <v>403</v>
      </c>
      <c r="I4" s="776"/>
    </row>
    <row r="5" spans="1:10" ht="14.1" customHeight="1" x14ac:dyDescent="0.25">
      <c r="A5" s="85" t="s">
        <v>9</v>
      </c>
      <c r="B5" s="86">
        <v>36.13470278540251</v>
      </c>
      <c r="C5" s="87">
        <v>25.769762664020959</v>
      </c>
      <c r="D5" s="87">
        <v>35.653297703913069</v>
      </c>
      <c r="E5" s="88">
        <v>3</v>
      </c>
      <c r="F5" s="87">
        <v>35.99698957756857</v>
      </c>
      <c r="G5" s="87">
        <v>26.504464519240745</v>
      </c>
      <c r="H5" s="87">
        <v>35.412986272225702</v>
      </c>
      <c r="I5" s="89">
        <v>3</v>
      </c>
    </row>
    <row r="6" spans="1:10" ht="14.1" customHeight="1" thickBot="1" x14ac:dyDescent="0.3">
      <c r="A6" s="90" t="s">
        <v>10</v>
      </c>
      <c r="B6" s="91">
        <v>63.86529721459749</v>
      </c>
      <c r="C6" s="92">
        <v>74.230237335979041</v>
      </c>
      <c r="D6" s="92">
        <v>64.346702296086931</v>
      </c>
      <c r="E6" s="93">
        <v>5</v>
      </c>
      <c r="F6" s="92">
        <v>64.00301042243143</v>
      </c>
      <c r="G6" s="92">
        <v>73.495535480759258</v>
      </c>
      <c r="H6" s="92">
        <v>64.587013727774291</v>
      </c>
      <c r="I6" s="94">
        <v>5</v>
      </c>
    </row>
    <row r="8" spans="1:10" hidden="1" x14ac:dyDescent="0.25">
      <c r="A8" s="82"/>
      <c r="B8" s="82"/>
      <c r="C8" s="82"/>
      <c r="D8" s="82"/>
      <c r="E8" s="82"/>
      <c r="F8" s="82"/>
      <c r="G8" s="82"/>
      <c r="H8" s="82"/>
      <c r="I8" s="82"/>
      <c r="J8" s="82" t="s">
        <v>400</v>
      </c>
    </row>
    <row r="9" spans="1:10" ht="24" hidden="1" x14ac:dyDescent="0.25">
      <c r="A9" s="97" t="str">
        <f>B3</f>
        <v>Учешће</v>
      </c>
      <c r="B9" s="98" t="s">
        <v>220</v>
      </c>
      <c r="C9" s="98" t="s">
        <v>222</v>
      </c>
      <c r="D9" s="98" t="s">
        <v>294</v>
      </c>
      <c r="E9" s="56" t="s">
        <v>297</v>
      </c>
      <c r="F9" s="55" t="s">
        <v>297</v>
      </c>
      <c r="G9" s="98" t="s">
        <v>220</v>
      </c>
      <c r="H9" s="98" t="s">
        <v>222</v>
      </c>
      <c r="I9" s="98" t="s">
        <v>294</v>
      </c>
      <c r="J9" s="97" t="str">
        <f>F3</f>
        <v>Учешће</v>
      </c>
    </row>
    <row r="10" spans="1:10" hidden="1" x14ac:dyDescent="0.25">
      <c r="A10" s="99" t="s">
        <v>298</v>
      </c>
      <c r="B10" s="96">
        <v>8889.2000000000007</v>
      </c>
      <c r="C10" s="96">
        <v>1054.2860000000001</v>
      </c>
      <c r="D10" s="96">
        <v>6515.2150000000001</v>
      </c>
      <c r="E10" s="51"/>
      <c r="F10" s="52"/>
      <c r="G10" s="96">
        <v>9513.6149999999998</v>
      </c>
      <c r="H10" s="96">
        <v>1127.893</v>
      </c>
      <c r="I10" s="96">
        <v>7089.933</v>
      </c>
      <c r="J10" s="100" t="s">
        <v>298</v>
      </c>
    </row>
    <row r="11" spans="1:10" ht="24" hidden="1" x14ac:dyDescent="0.25">
      <c r="A11" s="99" t="s">
        <v>295</v>
      </c>
      <c r="B11" s="95">
        <f>SUMIFS(B21:B28,E21:E28,1)</f>
        <v>3212.0859999999998</v>
      </c>
      <c r="C11" s="95">
        <f>SUMIFS(C21:C28,E21:E28,1)</f>
        <v>271.68700000000001</v>
      </c>
      <c r="D11" s="95">
        <f>SUMIFS(D21:D28,E21:E28,1)</f>
        <v>2322.8890000000001</v>
      </c>
      <c r="E11" s="54">
        <v>1</v>
      </c>
      <c r="F11" s="107">
        <v>1</v>
      </c>
      <c r="G11" s="95">
        <f>SUMIFS(G21:G28,J21:J28,1)</f>
        <v>3424.6149999999998</v>
      </c>
      <c r="H11" s="95">
        <f>SUMIFS(H21:H28,J21:J28,1)</f>
        <v>298.94200000000001</v>
      </c>
      <c r="I11" s="95">
        <f>SUMIFS(I21:I28,J21:J28,1)</f>
        <v>2510.7570000000001</v>
      </c>
      <c r="J11" s="100" t="s">
        <v>295</v>
      </c>
    </row>
    <row r="12" spans="1:10" ht="24" hidden="1" x14ac:dyDescent="0.25">
      <c r="A12" s="101" t="s">
        <v>296</v>
      </c>
      <c r="B12" s="95">
        <f>SUMIFS(B21:B28,E21:E28,2)</f>
        <v>5677.1139999999996</v>
      </c>
      <c r="C12" s="95">
        <f>SUMIFS(C21:C28,E21:E28,2)</f>
        <v>782.59899999999993</v>
      </c>
      <c r="D12" s="95">
        <f>SUMIFS(D21:D28,E21:E28,2)</f>
        <v>4192.326</v>
      </c>
      <c r="E12" s="54">
        <v>2</v>
      </c>
      <c r="F12" s="107">
        <v>2</v>
      </c>
      <c r="G12" s="95">
        <f>SUMIFS(G21:G28,J21:J28,2)</f>
        <v>6088.9999999999991</v>
      </c>
      <c r="H12" s="95">
        <f>SUMIFS(H21:H28,J21:J28,2)</f>
        <v>828.95099999999991</v>
      </c>
      <c r="I12" s="95">
        <f>SUMIFS(I21:I28,J21:J28,2)</f>
        <v>4579.1760000000004</v>
      </c>
      <c r="J12" s="102" t="s">
        <v>296</v>
      </c>
    </row>
    <row r="13" spans="1:10" hidden="1" x14ac:dyDescent="0.25">
      <c r="A13" s="50"/>
      <c r="B13" s="50"/>
      <c r="C13" s="50"/>
      <c r="D13" s="50"/>
      <c r="E13" s="51"/>
      <c r="F13" s="52"/>
      <c r="G13" s="50"/>
      <c r="H13" s="50"/>
      <c r="I13" s="50"/>
      <c r="J13" s="50"/>
    </row>
    <row r="14" spans="1:10" hidden="1" x14ac:dyDescent="0.25">
      <c r="A14" s="50"/>
      <c r="B14" s="50"/>
      <c r="C14" s="50"/>
      <c r="D14" s="50"/>
      <c r="E14" s="51"/>
      <c r="F14" s="52"/>
      <c r="G14" s="50"/>
      <c r="H14" s="50"/>
      <c r="I14" s="50"/>
      <c r="J14" s="50"/>
    </row>
    <row r="15" spans="1:10" hidden="1" x14ac:dyDescent="0.25">
      <c r="A15" s="50"/>
      <c r="B15" s="82"/>
      <c r="C15" s="82"/>
      <c r="D15" s="82" t="s">
        <v>3</v>
      </c>
      <c r="E15" s="56" t="s">
        <v>297</v>
      </c>
      <c r="F15" s="55" t="s">
        <v>297</v>
      </c>
      <c r="G15" s="82"/>
      <c r="H15" s="82"/>
      <c r="I15" s="82" t="s">
        <v>3</v>
      </c>
      <c r="J15" s="103"/>
    </row>
    <row r="16" spans="1:10" ht="24" hidden="1" x14ac:dyDescent="0.25">
      <c r="A16" s="99" t="s">
        <v>295</v>
      </c>
      <c r="B16" s="95">
        <f>B11*100/B10</f>
        <v>36.134702785402503</v>
      </c>
      <c r="C16" s="95">
        <f>C11*100/C10</f>
        <v>25.769762664020959</v>
      </c>
      <c r="D16" s="95">
        <f>D11*100/D10</f>
        <v>35.653297703913076</v>
      </c>
      <c r="E16" s="54">
        <v>1</v>
      </c>
      <c r="F16" s="107">
        <v>1</v>
      </c>
      <c r="G16" s="95">
        <f>G11*100/G10</f>
        <v>35.99698957756857</v>
      </c>
      <c r="H16" s="95">
        <f>H11*100/H10</f>
        <v>26.504464519240745</v>
      </c>
      <c r="I16" s="95">
        <f>I11*100/I10</f>
        <v>35.412986272225709</v>
      </c>
      <c r="J16" s="100" t="s">
        <v>295</v>
      </c>
    </row>
    <row r="17" spans="1:10" ht="24" hidden="1" x14ac:dyDescent="0.25">
      <c r="A17" s="101" t="s">
        <v>296</v>
      </c>
      <c r="B17" s="95">
        <f>B12*100/B10</f>
        <v>63.865297214597476</v>
      </c>
      <c r="C17" s="95">
        <f>C12*100/C10</f>
        <v>74.230237335979027</v>
      </c>
      <c r="D17" s="95">
        <f>D12*100/D10</f>
        <v>64.346702296086917</v>
      </c>
      <c r="E17" s="54">
        <v>2</v>
      </c>
      <c r="F17" s="107">
        <v>2</v>
      </c>
      <c r="G17" s="95">
        <f>G12*100/G10</f>
        <v>64.003010422431416</v>
      </c>
      <c r="H17" s="95">
        <f>H12*100/H10</f>
        <v>73.495535480759244</v>
      </c>
      <c r="I17" s="95">
        <f>I12*100/I10</f>
        <v>64.587013727774305</v>
      </c>
      <c r="J17" s="102" t="s">
        <v>296</v>
      </c>
    </row>
    <row r="18" spans="1:10" hidden="1" x14ac:dyDescent="0.25">
      <c r="A18" s="50"/>
      <c r="B18" s="50"/>
      <c r="C18" s="50"/>
      <c r="D18" s="50"/>
      <c r="E18" s="51"/>
      <c r="F18" s="50"/>
      <c r="G18" s="50"/>
      <c r="H18" s="50"/>
      <c r="I18" s="50"/>
      <c r="J18" s="50"/>
    </row>
    <row r="19" spans="1:10" hidden="1" x14ac:dyDescent="0.25">
      <c r="A19" s="50"/>
      <c r="B19" s="50"/>
      <c r="C19" s="50"/>
      <c r="D19" s="50"/>
      <c r="E19" s="51"/>
      <c r="F19" s="52"/>
      <c r="G19" s="50"/>
      <c r="H19" s="50"/>
      <c r="I19" s="50"/>
      <c r="J19" s="50"/>
    </row>
    <row r="20" spans="1:10" hidden="1" x14ac:dyDescent="0.25">
      <c r="A20" s="104" t="s">
        <v>299</v>
      </c>
      <c r="B20" s="82"/>
      <c r="C20" s="82"/>
      <c r="D20" s="82" t="s">
        <v>400</v>
      </c>
      <c r="E20" s="56" t="s">
        <v>297</v>
      </c>
      <c r="F20" s="55" t="s">
        <v>299</v>
      </c>
      <c r="G20" s="82"/>
      <c r="H20" s="82"/>
      <c r="I20" s="82" t="s">
        <v>400</v>
      </c>
      <c r="J20" s="103" t="s">
        <v>297</v>
      </c>
    </row>
    <row r="21" spans="1:10" hidden="1" x14ac:dyDescent="0.25">
      <c r="A21" s="105">
        <v>1</v>
      </c>
      <c r="B21" s="95">
        <v>1710.624</v>
      </c>
      <c r="C21" s="95">
        <v>254.61099999999999</v>
      </c>
      <c r="D21" s="95">
        <v>1274.748</v>
      </c>
      <c r="E21" s="54">
        <v>2</v>
      </c>
      <c r="F21" s="53">
        <v>1</v>
      </c>
      <c r="G21" s="95">
        <v>1662.0419999999999</v>
      </c>
      <c r="H21" s="95">
        <v>265.34199999999998</v>
      </c>
      <c r="I21" s="95">
        <v>1225.6959999999999</v>
      </c>
      <c r="J21" s="106">
        <v>2</v>
      </c>
    </row>
    <row r="22" spans="1:10" hidden="1" x14ac:dyDescent="0.25">
      <c r="A22" s="105">
        <v>2</v>
      </c>
      <c r="B22" s="95">
        <v>890.28899999999999</v>
      </c>
      <c r="C22" s="95">
        <v>148.86699999999999</v>
      </c>
      <c r="D22" s="95">
        <v>602.49300000000005</v>
      </c>
      <c r="E22" s="54">
        <v>2</v>
      </c>
      <c r="F22" s="53">
        <v>2</v>
      </c>
      <c r="G22" s="95">
        <v>988.06</v>
      </c>
      <c r="H22" s="95">
        <v>152.71100000000001</v>
      </c>
      <c r="I22" s="95">
        <v>705.67399999999998</v>
      </c>
      <c r="J22" s="106">
        <v>2</v>
      </c>
    </row>
    <row r="23" spans="1:10" hidden="1" x14ac:dyDescent="0.25">
      <c r="A23" s="105">
        <v>17</v>
      </c>
      <c r="B23" s="95">
        <v>1602.4059999999999</v>
      </c>
      <c r="C23" s="95">
        <v>192.08799999999999</v>
      </c>
      <c r="D23" s="95">
        <v>1237.519</v>
      </c>
      <c r="E23" s="54">
        <v>2</v>
      </c>
      <c r="F23" s="53">
        <v>17</v>
      </c>
      <c r="G23" s="95">
        <v>1770.2670000000001</v>
      </c>
      <c r="H23" s="95">
        <v>212.21799999999999</v>
      </c>
      <c r="I23" s="95">
        <v>1383.9059999999999</v>
      </c>
      <c r="J23" s="106">
        <v>2</v>
      </c>
    </row>
    <row r="24" spans="1:10" hidden="1" x14ac:dyDescent="0.25">
      <c r="A24" s="105">
        <v>18</v>
      </c>
      <c r="B24" s="95">
        <v>1003.165</v>
      </c>
      <c r="C24" s="95">
        <v>124.29600000000001</v>
      </c>
      <c r="D24" s="95">
        <v>742.11699999999996</v>
      </c>
      <c r="E24" s="54">
        <v>2</v>
      </c>
      <c r="F24" s="53">
        <v>18</v>
      </c>
      <c r="G24" s="95">
        <v>1122.145</v>
      </c>
      <c r="H24" s="95">
        <v>135.226</v>
      </c>
      <c r="I24" s="95">
        <v>856.74300000000005</v>
      </c>
      <c r="J24" s="106">
        <v>2</v>
      </c>
    </row>
    <row r="25" spans="1:10" hidden="1" x14ac:dyDescent="0.25">
      <c r="A25" s="105">
        <v>22</v>
      </c>
      <c r="B25" s="95">
        <v>227.06399999999999</v>
      </c>
      <c r="C25" s="95">
        <v>18.568999999999999</v>
      </c>
      <c r="D25" s="95">
        <v>166.80500000000001</v>
      </c>
      <c r="E25" s="54">
        <v>1</v>
      </c>
      <c r="F25" s="53">
        <v>22</v>
      </c>
      <c r="G25" s="95">
        <v>259.79700000000003</v>
      </c>
      <c r="H25" s="95">
        <v>18.795999999999999</v>
      </c>
      <c r="I25" s="95">
        <v>199.10400000000001</v>
      </c>
      <c r="J25" s="106">
        <v>1</v>
      </c>
    </row>
    <row r="26" spans="1:10" hidden="1" x14ac:dyDescent="0.25">
      <c r="A26" s="105">
        <v>27</v>
      </c>
      <c r="B26" s="95">
        <v>2426.7959999999998</v>
      </c>
      <c r="C26" s="95">
        <v>184.03100000000001</v>
      </c>
      <c r="D26" s="95">
        <v>1771.271</v>
      </c>
      <c r="E26" s="54">
        <v>1</v>
      </c>
      <c r="F26" s="53">
        <v>27</v>
      </c>
      <c r="G26" s="95">
        <v>2531.5129999999999</v>
      </c>
      <c r="H26" s="95">
        <v>206.797</v>
      </c>
      <c r="I26" s="95">
        <v>1857.8910000000001</v>
      </c>
      <c r="J26" s="106">
        <v>1</v>
      </c>
    </row>
    <row r="27" spans="1:10" hidden="1" x14ac:dyDescent="0.25">
      <c r="A27" s="105">
        <v>34</v>
      </c>
      <c r="B27" s="95">
        <v>470.63</v>
      </c>
      <c r="C27" s="95">
        <v>62.737000000000002</v>
      </c>
      <c r="D27" s="95">
        <v>335.44900000000001</v>
      </c>
      <c r="E27" s="54">
        <v>2</v>
      </c>
      <c r="F27" s="53">
        <v>34</v>
      </c>
      <c r="G27" s="95">
        <v>546.48599999999999</v>
      </c>
      <c r="H27" s="95">
        <v>63.454000000000001</v>
      </c>
      <c r="I27" s="95">
        <v>407.15699999999998</v>
      </c>
      <c r="J27" s="106">
        <v>2</v>
      </c>
    </row>
    <row r="28" spans="1:10" hidden="1" x14ac:dyDescent="0.25">
      <c r="A28" s="105">
        <v>35</v>
      </c>
      <c r="B28" s="95">
        <v>558.226</v>
      </c>
      <c r="C28" s="95">
        <v>69.087000000000003</v>
      </c>
      <c r="D28" s="95">
        <v>384.81299999999999</v>
      </c>
      <c r="E28" s="54">
        <v>1</v>
      </c>
      <c r="F28" s="53">
        <v>35</v>
      </c>
      <c r="G28" s="95">
        <v>633.30499999999995</v>
      </c>
      <c r="H28" s="95">
        <v>73.349000000000004</v>
      </c>
      <c r="I28" s="95">
        <v>453.762</v>
      </c>
      <c r="J28" s="106">
        <v>1</v>
      </c>
    </row>
    <row r="29" spans="1:10" x14ac:dyDescent="0.25">
      <c r="A29" s="50"/>
      <c r="B29" s="50"/>
      <c r="C29" s="50"/>
      <c r="D29" s="50"/>
      <c r="E29" s="51"/>
      <c r="F29" s="52"/>
      <c r="G29" s="50"/>
      <c r="H29" s="50"/>
      <c r="I29" s="50"/>
      <c r="J29" s="50"/>
    </row>
  </sheetData>
  <customSheetViews>
    <customSheetView guid="{5507C501-9942-4310-9E0E-987180BD1180}">
      <selection activeCell="F1" sqref="F1:I1"/>
      <pageMargins left="0.7" right="0.7" top="0.75" bottom="0.75" header="0.3" footer="0.3"/>
    </customSheetView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topLeftCell="A2" zoomScaleNormal="100" workbookViewId="0">
      <selection activeCell="A2" sqref="A2"/>
    </sheetView>
  </sheetViews>
  <sheetFormatPr defaultRowHeight="15" x14ac:dyDescent="0.25"/>
  <cols>
    <col min="1" max="1" width="20.42578125" customWidth="1"/>
    <col min="2" max="4" width="21" customWidth="1"/>
  </cols>
  <sheetData>
    <row r="1" spans="1:4" s="14" customFormat="1" hidden="1" x14ac:dyDescent="0.25">
      <c r="A1" s="28"/>
      <c r="B1" s="50"/>
      <c r="C1" s="50"/>
    </row>
    <row r="2" spans="1:4" s="14" customFormat="1" x14ac:dyDescent="0.25">
      <c r="A2" s="111" t="s">
        <v>332</v>
      </c>
      <c r="B2" s="112"/>
      <c r="C2" s="112"/>
      <c r="D2" s="113" t="s">
        <v>400</v>
      </c>
    </row>
    <row r="3" spans="1:4" x14ac:dyDescent="0.25">
      <c r="A3" s="138" t="s">
        <v>0</v>
      </c>
      <c r="B3" s="114" t="s">
        <v>1</v>
      </c>
      <c r="C3" s="114" t="s">
        <v>486</v>
      </c>
      <c r="D3" s="114" t="s">
        <v>332</v>
      </c>
    </row>
    <row r="4" spans="1:4" x14ac:dyDescent="0.25">
      <c r="A4" s="439" t="s">
        <v>531</v>
      </c>
      <c r="B4" s="115">
        <v>3000</v>
      </c>
      <c r="C4" s="116">
        <v>8744.1319999999996</v>
      </c>
      <c r="D4" s="116">
        <f>IFERROR(C4/B4,0)</f>
        <v>2.9147106666666667</v>
      </c>
    </row>
    <row r="5" spans="1:4" x14ac:dyDescent="0.25">
      <c r="A5" s="187" t="s">
        <v>532</v>
      </c>
      <c r="B5" s="72">
        <v>2969</v>
      </c>
      <c r="C5" s="117">
        <v>8889.2000000000007</v>
      </c>
      <c r="D5" s="117">
        <f>IFERROR(C5/B5,0)</f>
        <v>2.9940047153923883</v>
      </c>
    </row>
    <row r="6" spans="1:4" x14ac:dyDescent="0.25">
      <c r="A6" s="440" t="s">
        <v>533</v>
      </c>
      <c r="B6" s="118">
        <v>2944</v>
      </c>
      <c r="C6" s="119">
        <v>9513.6149999999998</v>
      </c>
      <c r="D6" s="119">
        <f>IFERROR(C6/B6,0)</f>
        <v>3.2315268342391303</v>
      </c>
    </row>
  </sheetData>
  <customSheetViews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14"/>
  <sheetViews>
    <sheetView topLeftCell="A2" zoomScaleNormal="100" workbookViewId="0">
      <selection activeCell="A3" sqref="A3"/>
    </sheetView>
  </sheetViews>
  <sheetFormatPr defaultRowHeight="15" x14ac:dyDescent="0.25"/>
  <cols>
    <col min="1" max="1" width="29.42578125" style="49" customWidth="1"/>
    <col min="2" max="2" width="8.7109375" style="49" customWidth="1"/>
    <col min="3" max="3" width="6.7109375" style="49" customWidth="1"/>
    <col min="4" max="4" width="8.7109375" style="49"/>
    <col min="5" max="5" width="6.7109375" style="49" customWidth="1"/>
    <col min="6" max="6" width="8.7109375" style="49"/>
    <col min="7" max="7" width="6.7109375" style="49" customWidth="1"/>
    <col min="8" max="8" width="13.71093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23"/>
      <c r="B2" s="23"/>
      <c r="C2" s="23"/>
      <c r="D2" s="23"/>
      <c r="E2" s="23"/>
      <c r="F2" s="23"/>
      <c r="G2" s="23"/>
      <c r="H2" s="25"/>
    </row>
    <row r="3" spans="1:9" x14ac:dyDescent="0.25">
      <c r="A3" s="65" t="s">
        <v>333</v>
      </c>
      <c r="B3" s="65"/>
      <c r="C3" s="65"/>
      <c r="D3" s="65"/>
      <c r="E3" s="65"/>
      <c r="F3" s="65"/>
      <c r="G3" s="141"/>
      <c r="H3" s="438" t="s">
        <v>400</v>
      </c>
    </row>
    <row r="4" spans="1:9" x14ac:dyDescent="0.25">
      <c r="A4" s="766" t="s">
        <v>12</v>
      </c>
      <c r="B4" s="768" t="s">
        <v>531</v>
      </c>
      <c r="C4" s="770"/>
      <c r="D4" s="768" t="s">
        <v>532</v>
      </c>
      <c r="E4" s="770"/>
      <c r="F4" s="768" t="s">
        <v>533</v>
      </c>
      <c r="G4" s="770"/>
      <c r="H4" s="777" t="s">
        <v>11</v>
      </c>
    </row>
    <row r="5" spans="1:9" ht="14.1" customHeight="1" x14ac:dyDescent="0.25">
      <c r="A5" s="767"/>
      <c r="B5" s="110" t="s">
        <v>2</v>
      </c>
      <c r="C5" s="142" t="s">
        <v>3</v>
      </c>
      <c r="D5" s="110" t="s">
        <v>2</v>
      </c>
      <c r="E5" s="142" t="s">
        <v>3</v>
      </c>
      <c r="F5" s="110" t="s">
        <v>2</v>
      </c>
      <c r="G5" s="142" t="s">
        <v>3</v>
      </c>
      <c r="H5" s="776"/>
    </row>
    <row r="6" spans="1:9" s="1" customFormat="1" x14ac:dyDescent="0.25">
      <c r="A6" s="85" t="s">
        <v>416</v>
      </c>
      <c r="B6" s="86">
        <v>650.82500000000005</v>
      </c>
      <c r="C6" s="740">
        <f>IF($B$14&lt;&gt;0,B6*100/$B$14,0)</f>
        <v>10.159882432133719</v>
      </c>
      <c r="D6" s="86">
        <v>622.471</v>
      </c>
      <c r="E6" s="740">
        <f>IF($D$14&lt;&gt;0,D6*100/$D$14,0)</f>
        <v>9.5541129494575383</v>
      </c>
      <c r="F6" s="86">
        <v>1033.127</v>
      </c>
      <c r="G6" s="740">
        <f>IF($F$14&lt;&gt;0,F6*100/$F$14,0)</f>
        <v>14.571745600416815</v>
      </c>
      <c r="H6" s="72">
        <f>IF(D6&lt;&gt;0,F6/D6*100,"-")</f>
        <v>165.97190873149111</v>
      </c>
    </row>
    <row r="7" spans="1:9" s="48" customFormat="1" x14ac:dyDescent="0.25">
      <c r="A7" s="85" t="s">
        <v>417</v>
      </c>
      <c r="B7" s="86">
        <v>274.20999999999998</v>
      </c>
      <c r="C7" s="740">
        <f>IF($B$14&lt;&gt;0,B7*100/$B$14,0)</f>
        <v>4.2806305254336978</v>
      </c>
      <c r="D7" s="86">
        <v>324.12799999999999</v>
      </c>
      <c r="E7" s="740">
        <f t="shared" ref="E7:E13" si="0">IF($D$14&lt;&gt;0,D7*100/$D$14,0)</f>
        <v>4.9749394302413652</v>
      </c>
      <c r="F7" s="86">
        <v>359.03399999999999</v>
      </c>
      <c r="G7" s="740">
        <f t="shared" ref="G7:G13" si="1">IF($F$14&lt;&gt;0,F7*100/$F$14,0)</f>
        <v>5.0639970786747908</v>
      </c>
      <c r="H7" s="72">
        <f t="shared" ref="H7:H14" si="2">IF(D7&lt;&gt;0,F7/D7*100,"-")</f>
        <v>110.76920229045315</v>
      </c>
    </row>
    <row r="8" spans="1:9" s="48" customFormat="1" x14ac:dyDescent="0.25">
      <c r="A8" s="85" t="s">
        <v>418</v>
      </c>
      <c r="B8" s="86">
        <v>903.34299999999996</v>
      </c>
      <c r="C8" s="740">
        <f t="shared" ref="C8:C13" si="3">IF($B$14&lt;&gt;0,B8*100/$B$14,0)</f>
        <v>14.10188403317477</v>
      </c>
      <c r="D8" s="86">
        <v>943.65200000000004</v>
      </c>
      <c r="E8" s="740">
        <f t="shared" si="0"/>
        <v>14.483819797197791</v>
      </c>
      <c r="F8" s="86">
        <v>1035.7159999999999</v>
      </c>
      <c r="G8" s="740">
        <f t="shared" si="1"/>
        <v>14.608262165523987</v>
      </c>
      <c r="H8" s="72">
        <f t="shared" si="2"/>
        <v>109.75613891561717</v>
      </c>
    </row>
    <row r="9" spans="1:9" s="48" customFormat="1" x14ac:dyDescent="0.25">
      <c r="A9" s="85" t="s">
        <v>419</v>
      </c>
      <c r="B9" s="86">
        <v>100.55200000000001</v>
      </c>
      <c r="C9" s="740">
        <f t="shared" si="3"/>
        <v>1.5696946157813692</v>
      </c>
      <c r="D9" s="86">
        <v>105.654</v>
      </c>
      <c r="E9" s="740">
        <f t="shared" si="0"/>
        <v>1.6216502448499397</v>
      </c>
      <c r="F9" s="86">
        <v>116.592</v>
      </c>
      <c r="G9" s="740">
        <f t="shared" si="1"/>
        <v>1.6444725218136758</v>
      </c>
      <c r="H9" s="72">
        <f t="shared" si="2"/>
        <v>110.35266057129877</v>
      </c>
    </row>
    <row r="10" spans="1:9" s="48" customFormat="1" x14ac:dyDescent="0.25">
      <c r="A10" s="85" t="s">
        <v>420</v>
      </c>
      <c r="B10" s="86">
        <v>465.99</v>
      </c>
      <c r="C10" s="740">
        <f t="shared" si="3"/>
        <v>7.2744648938654644</v>
      </c>
      <c r="D10" s="86">
        <v>361.27600000000001</v>
      </c>
      <c r="E10" s="740">
        <f t="shared" si="0"/>
        <v>5.5451124790202622</v>
      </c>
      <c r="F10" s="86">
        <v>171.81800000000001</v>
      </c>
      <c r="G10" s="740">
        <f t="shared" si="1"/>
        <v>2.4234079503995312</v>
      </c>
      <c r="H10" s="72">
        <f t="shared" si="2"/>
        <v>47.558653218038287</v>
      </c>
    </row>
    <row r="11" spans="1:9" s="48" customFormat="1" x14ac:dyDescent="0.25">
      <c r="A11" s="85" t="s">
        <v>421</v>
      </c>
      <c r="B11" s="86">
        <v>307.459</v>
      </c>
      <c r="C11" s="740">
        <f t="shared" si="3"/>
        <v>4.7996731728212669</v>
      </c>
      <c r="D11" s="86">
        <v>285.77199999999999</v>
      </c>
      <c r="E11" s="740">
        <f t="shared" si="0"/>
        <v>4.386225166782677</v>
      </c>
      <c r="F11" s="86">
        <v>299.82900000000001</v>
      </c>
      <c r="G11" s="740">
        <f t="shared" si="1"/>
        <v>4.2289398221393624</v>
      </c>
      <c r="H11" s="72">
        <f t="shared" si="2"/>
        <v>104.91895637081311</v>
      </c>
    </row>
    <row r="12" spans="1:9" s="48" customFormat="1" x14ac:dyDescent="0.25">
      <c r="A12" s="85" t="s">
        <v>422</v>
      </c>
      <c r="B12" s="86">
        <v>3690.0050000000001</v>
      </c>
      <c r="C12" s="740">
        <f t="shared" si="3"/>
        <v>57.603836628871939</v>
      </c>
      <c r="D12" s="86">
        <v>3855.54</v>
      </c>
      <c r="E12" s="740">
        <f t="shared" si="0"/>
        <v>59.177479177586619</v>
      </c>
      <c r="F12" s="86">
        <v>4049.2190000000001</v>
      </c>
      <c r="G12" s="740">
        <f t="shared" si="1"/>
        <v>57.112232231249571</v>
      </c>
      <c r="H12" s="72">
        <f t="shared" si="2"/>
        <v>105.02339490706881</v>
      </c>
    </row>
    <row r="13" spans="1:9" s="48" customFormat="1" x14ac:dyDescent="0.25">
      <c r="A13" s="85" t="s">
        <v>242</v>
      </c>
      <c r="B13" s="86">
        <v>13.448</v>
      </c>
      <c r="C13" s="740">
        <f t="shared" si="3"/>
        <v>0.20993369791777242</v>
      </c>
      <c r="D13" s="86">
        <v>16.722000000000001</v>
      </c>
      <c r="E13" s="740">
        <f t="shared" si="0"/>
        <v>0.25666075486380724</v>
      </c>
      <c r="F13" s="86">
        <v>24.597999999999999</v>
      </c>
      <c r="G13" s="740">
        <f t="shared" si="1"/>
        <v>0.34694262978225598</v>
      </c>
      <c r="H13" s="72">
        <f t="shared" si="2"/>
        <v>147.09962923095321</v>
      </c>
    </row>
    <row r="14" spans="1:9" s="140" customFormat="1" ht="15.75" thickBot="1" x14ac:dyDescent="0.3">
      <c r="A14" s="143" t="s">
        <v>64</v>
      </c>
      <c r="B14" s="144">
        <f>SUM(B6:B13)</f>
        <v>6405.8320000000003</v>
      </c>
      <c r="C14" s="741">
        <f t="shared" ref="C14:G14" si="4">SUM(C6:C13)</f>
        <v>100</v>
      </c>
      <c r="D14" s="144">
        <f>SUM(D6:D13)</f>
        <v>6515.2150000000001</v>
      </c>
      <c r="E14" s="741">
        <f t="shared" si="4"/>
        <v>99.999999999999986</v>
      </c>
      <c r="F14" s="144">
        <f>SUM(F6:F13)</f>
        <v>7089.9330000000009</v>
      </c>
      <c r="G14" s="741">
        <f t="shared" si="4"/>
        <v>100</v>
      </c>
      <c r="H14" s="145">
        <f t="shared" si="2"/>
        <v>108.82116706816277</v>
      </c>
      <c r="I14" s="48"/>
    </row>
  </sheetData>
  <customSheetViews>
    <customSheetView guid="{5507C501-9942-4310-9E0E-987180BD1180}">
      <selection activeCell="B4" sqref="B4"/>
      <pageMargins left="0.7" right="0.7" top="0.75" bottom="0.75" header="0.3" footer="0.3"/>
    </customSheetView>
    <customSheetView guid="{54A0E5BB-5A66-4415-88CA-030F3BDE4337}">
      <selection activeCell="L9" sqref="L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8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5703125" style="49" customWidth="1"/>
    <col min="2" max="2" width="8.7109375" style="49"/>
    <col min="3" max="3" width="5.7109375" style="49" customWidth="1"/>
    <col min="4" max="4" width="8.7109375" style="49"/>
    <col min="5" max="5" width="5.7109375" style="49" customWidth="1"/>
    <col min="6" max="6" width="8.7109375" style="49"/>
    <col min="7" max="7" width="5.7109375" style="49" customWidth="1"/>
    <col min="8" max="8" width="11.855468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151"/>
    </row>
    <row r="3" spans="1:9" x14ac:dyDescent="0.25">
      <c r="A3" s="152" t="s">
        <v>334</v>
      </c>
      <c r="B3" s="147"/>
      <c r="C3" s="147"/>
      <c r="D3" s="147"/>
      <c r="E3" s="147"/>
      <c r="F3" s="147"/>
      <c r="G3" s="147"/>
      <c r="H3" s="438" t="s">
        <v>400</v>
      </c>
    </row>
    <row r="4" spans="1:9" x14ac:dyDescent="0.25">
      <c r="A4" s="766" t="s">
        <v>12</v>
      </c>
      <c r="B4" s="779" t="s">
        <v>531</v>
      </c>
      <c r="C4" s="780"/>
      <c r="D4" s="779" t="s">
        <v>532</v>
      </c>
      <c r="E4" s="780"/>
      <c r="F4" s="779" t="s">
        <v>533</v>
      </c>
      <c r="G4" s="780"/>
      <c r="H4" s="781" t="s">
        <v>11</v>
      </c>
    </row>
    <row r="5" spans="1:9" ht="14.1" customHeight="1" x14ac:dyDescent="0.25">
      <c r="A5" s="778"/>
      <c r="B5" s="121" t="s">
        <v>2</v>
      </c>
      <c r="C5" s="122" t="s">
        <v>3</v>
      </c>
      <c r="D5" s="121" t="s">
        <v>2</v>
      </c>
      <c r="E5" s="122" t="s">
        <v>3</v>
      </c>
      <c r="F5" s="121" t="s">
        <v>2</v>
      </c>
      <c r="G5" s="148" t="s">
        <v>3</v>
      </c>
      <c r="H5" s="782"/>
    </row>
    <row r="6" spans="1:9" s="1" customFormat="1" ht="15" customHeight="1" x14ac:dyDescent="0.25">
      <c r="A6" s="85" t="s">
        <v>31</v>
      </c>
      <c r="B6" s="128">
        <v>3947.6210000000001</v>
      </c>
      <c r="C6" s="752">
        <f>IF($B$8&lt;&gt;0,ROUND(B6*100/$B$8,1),0)</f>
        <v>61.6</v>
      </c>
      <c r="D6" s="128">
        <v>4154.6109999999999</v>
      </c>
      <c r="E6" s="752">
        <f>IF($D$8&lt;&gt;0,ROUND(D6*100/$D$8,1),0)</f>
        <v>63.8</v>
      </c>
      <c r="F6" s="128">
        <v>4812.6189999999997</v>
      </c>
      <c r="G6" s="754">
        <f>IF($F$8&lt;&gt;0,ROUND(F6*100/$F$8,1),0)</f>
        <v>67.900000000000006</v>
      </c>
      <c r="H6" s="7">
        <f>IF(D6&lt;&gt;0,F6/D6*100,"-")</f>
        <v>115.83801708511339</v>
      </c>
    </row>
    <row r="7" spans="1:9" ht="15" customHeight="1" x14ac:dyDescent="0.25">
      <c r="A7" s="85" t="s">
        <v>32</v>
      </c>
      <c r="B7" s="128">
        <v>2458.2109999999998</v>
      </c>
      <c r="C7" s="752">
        <f>IF($B$8&lt;&gt;0,ROUND(B7*100/$B$8,1),0)</f>
        <v>38.4</v>
      </c>
      <c r="D7" s="128">
        <v>2360.6039999999998</v>
      </c>
      <c r="E7" s="752">
        <f>IF($D$8&lt;&gt;0,ROUND(D7*100/$D$8,1),0)</f>
        <v>36.200000000000003</v>
      </c>
      <c r="F7" s="128">
        <v>2277.3139999999999</v>
      </c>
      <c r="G7" s="754">
        <f>IF($F$8&lt;&gt;0,ROUND(F7*100/$F$8,1),0)</f>
        <v>32.1</v>
      </c>
      <c r="H7" s="7">
        <f>IF(D7&lt;&gt;0,F7/D7*100,"-")</f>
        <v>96.471665726229389</v>
      </c>
    </row>
    <row r="8" spans="1:9" s="2" customFormat="1" ht="15" customHeight="1" thickBot="1" x14ac:dyDescent="0.3">
      <c r="A8" s="133" t="s">
        <v>64</v>
      </c>
      <c r="B8" s="149">
        <f t="shared" ref="B8:G8" si="0">SUM(B6:B7)</f>
        <v>6405.8320000000003</v>
      </c>
      <c r="C8" s="753">
        <f t="shared" si="0"/>
        <v>100</v>
      </c>
      <c r="D8" s="149">
        <f t="shared" si="0"/>
        <v>6515.2150000000001</v>
      </c>
      <c r="E8" s="753">
        <f t="shared" si="0"/>
        <v>100</v>
      </c>
      <c r="F8" s="149">
        <f t="shared" si="0"/>
        <v>7089.9329999999991</v>
      </c>
      <c r="G8" s="755">
        <f t="shared" si="0"/>
        <v>100</v>
      </c>
      <c r="H8" s="150">
        <f t="shared" ref="H8" si="1">IF(D8&lt;&gt;0,F8/D8*100,"")</f>
        <v>108.82116706816274</v>
      </c>
      <c r="I8"/>
    </row>
  </sheetData>
  <customSheetViews>
    <customSheetView guid="{5507C501-9942-4310-9E0E-987180BD1180}">
      <selection activeCell="H12" sqref="H12"/>
      <pageMargins left="0.7" right="0.7" top="0.75" bottom="0.75" header="0.3" footer="0.3"/>
    </customSheetView>
    <customSheetView guid="{54A0E5BB-5A66-4415-88CA-030F3BDE4337}">
      <selection activeCell="A9" sqref="A9:XFD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13"/>
  <sheetViews>
    <sheetView topLeftCell="A2" zoomScaleNormal="100" workbookViewId="0">
      <selection activeCell="A3" sqref="A3"/>
    </sheetView>
  </sheetViews>
  <sheetFormatPr defaultRowHeight="15" x14ac:dyDescent="0.25"/>
  <cols>
    <col min="1" max="1" width="28.7109375" style="49" customWidth="1"/>
    <col min="2" max="2" width="9.5703125" style="49" customWidth="1"/>
    <col min="3" max="3" width="6.7109375" style="49" customWidth="1"/>
    <col min="4" max="4" width="9.5703125" style="49" customWidth="1"/>
    <col min="5" max="5" width="6.7109375" style="49" customWidth="1"/>
    <col min="6" max="6" width="9.5703125" style="49" customWidth="1"/>
    <col min="7" max="7" width="6.7109375" style="49" customWidth="1"/>
    <col min="8" max="8" width="9.570312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B2" s="23"/>
      <c r="C2" s="23"/>
      <c r="D2" s="23"/>
      <c r="E2" s="23"/>
      <c r="F2" s="23"/>
      <c r="G2" s="23"/>
    </row>
    <row r="3" spans="1:9" x14ac:dyDescent="0.25">
      <c r="A3" s="81" t="s">
        <v>335</v>
      </c>
      <c r="B3" s="81"/>
      <c r="C3" s="81"/>
      <c r="D3" s="81"/>
      <c r="E3" s="81"/>
      <c r="F3" s="81"/>
      <c r="G3" s="155"/>
      <c r="H3" s="438" t="s">
        <v>400</v>
      </c>
    </row>
    <row r="4" spans="1:9" x14ac:dyDescent="0.25">
      <c r="A4" s="765" t="s">
        <v>12</v>
      </c>
      <c r="B4" s="768" t="s">
        <v>531</v>
      </c>
      <c r="C4" s="770"/>
      <c r="D4" s="768" t="s">
        <v>532</v>
      </c>
      <c r="E4" s="770"/>
      <c r="F4" s="768" t="s">
        <v>533</v>
      </c>
      <c r="G4" s="770"/>
      <c r="H4" s="783" t="s">
        <v>11</v>
      </c>
    </row>
    <row r="5" spans="1:9" ht="12" customHeight="1" x14ac:dyDescent="0.25">
      <c r="A5" s="767"/>
      <c r="B5" s="110" t="s">
        <v>2</v>
      </c>
      <c r="C5" s="142" t="s">
        <v>3</v>
      </c>
      <c r="D5" s="110" t="s">
        <v>2</v>
      </c>
      <c r="E5" s="142" t="s">
        <v>3</v>
      </c>
      <c r="F5" s="110" t="s">
        <v>2</v>
      </c>
      <c r="G5" s="142" t="s">
        <v>3</v>
      </c>
      <c r="H5" s="784"/>
      <c r="I5" s="48"/>
    </row>
    <row r="6" spans="1:9" s="1" customFormat="1" ht="15" customHeight="1" x14ac:dyDescent="0.25">
      <c r="A6" s="156" t="s">
        <v>33</v>
      </c>
      <c r="B6" s="86">
        <v>3520.596</v>
      </c>
      <c r="C6" s="157">
        <f>IF($B$13&lt;&gt;0,B6*100/$B$13,0)</f>
        <v>54.959230900841604</v>
      </c>
      <c r="D6" s="86">
        <v>3739.3870000000002</v>
      </c>
      <c r="E6" s="157">
        <f>IF($D$13&lt;&gt;0,D6*100/$D$13,0)</f>
        <v>57.394683061111564</v>
      </c>
      <c r="F6" s="86">
        <v>4499.335</v>
      </c>
      <c r="G6" s="157">
        <f t="shared" ref="G6:G11" si="0">IF($F$13&lt;&gt;0,F6*100/$F$13,0)</f>
        <v>63.460895892810264</v>
      </c>
      <c r="H6" s="72">
        <f t="shared" ref="H6:H13" si="1">IF(D6&lt;&gt;0,F6/D6*100,"-")</f>
        <v>120.32279622301729</v>
      </c>
      <c r="I6" s="139"/>
    </row>
    <row r="7" spans="1:9" ht="15" customHeight="1" x14ac:dyDescent="0.25">
      <c r="A7" s="156" t="s">
        <v>34</v>
      </c>
      <c r="B7" s="86">
        <v>147.69900000000001</v>
      </c>
      <c r="C7" s="157">
        <f t="shared" ref="C7:C11" si="2">IF($B$13&lt;&gt;0,B7*100/$B$13,0)</f>
        <v>2.3056958096934168</v>
      </c>
      <c r="D7" s="86">
        <v>136.40199999999999</v>
      </c>
      <c r="E7" s="157">
        <f t="shared" ref="E7:E11" si="3">IF($D$13&lt;&gt;0,D7*100/$D$13,0)</f>
        <v>2.0935916926762967</v>
      </c>
      <c r="F7" s="86">
        <v>8.1069999999999993</v>
      </c>
      <c r="G7" s="157">
        <f t="shared" si="0"/>
        <v>0.11434522723980604</v>
      </c>
      <c r="H7" s="72">
        <f t="shared" si="1"/>
        <v>5.9434612395712678</v>
      </c>
      <c r="I7" s="48"/>
    </row>
    <row r="8" spans="1:9" ht="15" customHeight="1" x14ac:dyDescent="0.25">
      <c r="A8" s="156" t="s">
        <v>35</v>
      </c>
      <c r="B8" s="86">
        <v>382.57299999999998</v>
      </c>
      <c r="C8" s="157">
        <f t="shared" si="2"/>
        <v>5.9722609022528212</v>
      </c>
      <c r="D8" s="86">
        <v>206.876</v>
      </c>
      <c r="E8" s="157">
        <f t="shared" si="3"/>
        <v>3.175275106040246</v>
      </c>
      <c r="F8" s="86">
        <v>203.131</v>
      </c>
      <c r="G8" s="157">
        <f t="shared" si="0"/>
        <v>2.8650623355679095</v>
      </c>
      <c r="H8" s="72">
        <f t="shared" si="1"/>
        <v>98.189736847193487</v>
      </c>
      <c r="I8" s="48"/>
    </row>
    <row r="9" spans="1:9" ht="15" customHeight="1" x14ac:dyDescent="0.25">
      <c r="A9" s="158" t="s">
        <v>36</v>
      </c>
      <c r="B9" s="159">
        <f t="shared" ref="B9:G9" si="4">SUM(B6:B8)</f>
        <v>4050.8679999999999</v>
      </c>
      <c r="C9" s="160">
        <f t="shared" si="4"/>
        <v>63.237187612787842</v>
      </c>
      <c r="D9" s="159">
        <f t="shared" si="4"/>
        <v>4082.6650000000004</v>
      </c>
      <c r="E9" s="160">
        <f t="shared" si="4"/>
        <v>62.663549859828109</v>
      </c>
      <c r="F9" s="159">
        <f t="shared" si="4"/>
        <v>4710.5730000000003</v>
      </c>
      <c r="G9" s="160">
        <f t="shared" si="4"/>
        <v>66.440303455617979</v>
      </c>
      <c r="H9" s="161">
        <f t="shared" si="1"/>
        <v>115.37985604990857</v>
      </c>
    </row>
    <row r="10" spans="1:9" ht="15" customHeight="1" x14ac:dyDescent="0.25">
      <c r="A10" s="156" t="s">
        <v>37</v>
      </c>
      <c r="B10" s="86">
        <v>2034.0029999999999</v>
      </c>
      <c r="C10" s="157">
        <f t="shared" si="2"/>
        <v>31.752362534640305</v>
      </c>
      <c r="D10" s="86">
        <v>2094.5729999999999</v>
      </c>
      <c r="E10" s="157">
        <f t="shared" si="3"/>
        <v>32.148946734681815</v>
      </c>
      <c r="F10" s="86">
        <v>2074.085</v>
      </c>
      <c r="G10" s="157">
        <f t="shared" si="0"/>
        <v>29.253943584516239</v>
      </c>
      <c r="H10" s="72">
        <f t="shared" si="1"/>
        <v>99.021853141427869</v>
      </c>
    </row>
    <row r="11" spans="1:9" ht="15" customHeight="1" x14ac:dyDescent="0.25">
      <c r="A11" s="156" t="s">
        <v>38</v>
      </c>
      <c r="B11" s="86">
        <v>320.96100000000001</v>
      </c>
      <c r="C11" s="157">
        <f t="shared" si="2"/>
        <v>5.0104498525718437</v>
      </c>
      <c r="D11" s="86">
        <v>337.97699999999998</v>
      </c>
      <c r="E11" s="157">
        <f t="shared" si="3"/>
        <v>5.1875034054900713</v>
      </c>
      <c r="F11" s="86">
        <v>305.27499999999998</v>
      </c>
      <c r="G11" s="157">
        <f t="shared" si="0"/>
        <v>4.3057529598657691</v>
      </c>
      <c r="H11" s="72">
        <f t="shared" si="1"/>
        <v>90.324193658148332</v>
      </c>
    </row>
    <row r="12" spans="1:9" ht="15" customHeight="1" x14ac:dyDescent="0.25">
      <c r="A12" s="123" t="s">
        <v>39</v>
      </c>
      <c r="B12" s="162">
        <f t="shared" ref="B12:G12" si="5">SUM(B10:B11)</f>
        <v>2354.9639999999999</v>
      </c>
      <c r="C12" s="163">
        <f t="shared" si="5"/>
        <v>36.762812387212151</v>
      </c>
      <c r="D12" s="162">
        <f t="shared" si="5"/>
        <v>2432.5499999999997</v>
      </c>
      <c r="E12" s="163">
        <f t="shared" si="5"/>
        <v>37.336450140171884</v>
      </c>
      <c r="F12" s="162">
        <f t="shared" si="5"/>
        <v>2379.36</v>
      </c>
      <c r="G12" s="163">
        <f t="shared" si="5"/>
        <v>33.559696544382007</v>
      </c>
      <c r="H12" s="164">
        <f t="shared" si="1"/>
        <v>97.813405685391885</v>
      </c>
    </row>
    <row r="13" spans="1:9" s="2" customFormat="1" ht="15" customHeight="1" thickBot="1" x14ac:dyDescent="0.3">
      <c r="A13" s="143" t="s">
        <v>40</v>
      </c>
      <c r="B13" s="144">
        <f>B9+B12</f>
        <v>6405.8320000000003</v>
      </c>
      <c r="C13" s="165">
        <f t="shared" ref="C13:G13" si="6">C9+C12</f>
        <v>100</v>
      </c>
      <c r="D13" s="144">
        <f>D9+D12</f>
        <v>6515.2150000000001</v>
      </c>
      <c r="E13" s="165">
        <f t="shared" si="6"/>
        <v>100</v>
      </c>
      <c r="F13" s="144">
        <f>F9+F12</f>
        <v>7089.9330000000009</v>
      </c>
      <c r="G13" s="165">
        <f t="shared" si="6"/>
        <v>99.999999999999986</v>
      </c>
      <c r="H13" s="166">
        <f t="shared" si="1"/>
        <v>108.82116706816277</v>
      </c>
      <c r="I13"/>
    </row>
  </sheetData>
  <customSheetViews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B9 D9 F9" formulaRange="1"/>
    <ignoredError sqref="C9 E9 G9" formula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12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7109375" style="49" customWidth="1"/>
    <col min="2" max="4" width="13.7109375" style="49" customWidth="1"/>
    <col min="5" max="5" width="15.140625" style="49" customWidth="1"/>
  </cols>
  <sheetData>
    <row r="1" spans="1:6" s="49" customFormat="1" hidden="1" x14ac:dyDescent="0.25"/>
    <row r="2" spans="1:6" s="14" customFormat="1" x14ac:dyDescent="0.25">
      <c r="A2" s="49"/>
      <c r="B2" s="23"/>
      <c r="C2" s="23"/>
      <c r="D2" s="23"/>
      <c r="E2" s="167"/>
    </row>
    <row r="3" spans="1:6" x14ac:dyDescent="0.25">
      <c r="A3" s="479" t="s">
        <v>336</v>
      </c>
      <c r="B3" s="479"/>
      <c r="C3" s="479"/>
      <c r="D3" s="479"/>
      <c r="E3" s="438" t="s">
        <v>400</v>
      </c>
    </row>
    <row r="4" spans="1:6" x14ac:dyDescent="0.25">
      <c r="A4" s="168" t="s">
        <v>12</v>
      </c>
      <c r="B4" s="169" t="s">
        <v>531</v>
      </c>
      <c r="C4" s="170" t="s">
        <v>532</v>
      </c>
      <c r="D4" s="170" t="s">
        <v>533</v>
      </c>
      <c r="E4" s="171" t="s">
        <v>11</v>
      </c>
    </row>
    <row r="5" spans="1:6" s="1" customFormat="1" ht="14.1" customHeight="1" x14ac:dyDescent="0.25">
      <c r="A5" s="85" t="s">
        <v>205</v>
      </c>
      <c r="B5" s="172">
        <v>2502.1010000000001</v>
      </c>
      <c r="C5" s="72">
        <v>2572.7579999999998</v>
      </c>
      <c r="D5" s="72">
        <v>2698.471</v>
      </c>
      <c r="E5" s="173">
        <f t="shared" ref="E5:E12" si="0">IF(C5&lt;&gt;0,D5/C5*100,"-")</f>
        <v>104.88631266524098</v>
      </c>
    </row>
    <row r="6" spans="1:6" ht="14.1" customHeight="1" x14ac:dyDescent="0.25">
      <c r="A6" s="85" t="s">
        <v>206</v>
      </c>
      <c r="B6" s="172">
        <f>SUM(B7:B8)</f>
        <v>2494.857</v>
      </c>
      <c r="C6" s="72">
        <f t="shared" ref="C6:D6" si="1">SUM(C7:C8)</f>
        <v>2490.5100000000002</v>
      </c>
      <c r="D6" s="72">
        <f t="shared" si="1"/>
        <v>2524.6210000000001</v>
      </c>
      <c r="E6" s="173">
        <f t="shared" si="0"/>
        <v>101.36963915021423</v>
      </c>
    </row>
    <row r="7" spans="1:6" ht="14.1" customHeight="1" x14ac:dyDescent="0.25">
      <c r="A7" s="156" t="s">
        <v>207</v>
      </c>
      <c r="B7" s="172">
        <v>1852.248</v>
      </c>
      <c r="C7" s="72">
        <v>1838.3530000000001</v>
      </c>
      <c r="D7" s="72">
        <v>1812.5260000000001</v>
      </c>
      <c r="E7" s="173">
        <f t="shared" si="0"/>
        <v>98.59510115848262</v>
      </c>
    </row>
    <row r="8" spans="1:6" ht="14.1" customHeight="1" x14ac:dyDescent="0.25">
      <c r="A8" s="156" t="s">
        <v>208</v>
      </c>
      <c r="B8" s="172">
        <v>642.60900000000004</v>
      </c>
      <c r="C8" s="72">
        <v>652.15700000000004</v>
      </c>
      <c r="D8" s="72">
        <v>712.09500000000003</v>
      </c>
      <c r="E8" s="173">
        <f t="shared" si="0"/>
        <v>109.19073167964154</v>
      </c>
    </row>
    <row r="9" spans="1:6" ht="14.1" customHeight="1" x14ac:dyDescent="0.25">
      <c r="A9" s="174" t="s">
        <v>209</v>
      </c>
      <c r="B9" s="175">
        <f>IF(B6&lt;&gt;0,B5*100/B6,0)</f>
        <v>100.29035732308506</v>
      </c>
      <c r="C9" s="176">
        <f>IF(C6&lt;&gt;0,C5*100/C6,0)</f>
        <v>103.30245612344459</v>
      </c>
      <c r="D9" s="176">
        <f>IF(D6&lt;&gt;0,D5*100/D6,0)</f>
        <v>106.88618212397027</v>
      </c>
      <c r="E9" s="177">
        <f>IF(C9&lt;&gt;0,D9/C9*100,"-")</f>
        <v>103.46915856118967</v>
      </c>
    </row>
    <row r="10" spans="1:6" ht="14.1" customHeight="1" x14ac:dyDescent="0.25">
      <c r="A10" s="85" t="s">
        <v>210</v>
      </c>
      <c r="B10" s="172">
        <v>1002.576</v>
      </c>
      <c r="C10" s="72">
        <v>1162.588</v>
      </c>
      <c r="D10" s="72">
        <v>1301.335</v>
      </c>
      <c r="E10" s="173">
        <f t="shared" si="0"/>
        <v>111.93432239107921</v>
      </c>
    </row>
    <row r="11" spans="1:6" ht="14.1" customHeight="1" x14ac:dyDescent="0.25">
      <c r="A11" s="85" t="s">
        <v>211</v>
      </c>
      <c r="B11" s="172">
        <f>B6+B10</f>
        <v>3497.433</v>
      </c>
      <c r="C11" s="72">
        <f t="shared" ref="C11:D11" si="2">C6+C10</f>
        <v>3653.098</v>
      </c>
      <c r="D11" s="72">
        <f t="shared" si="2"/>
        <v>3825.9560000000001</v>
      </c>
      <c r="E11" s="173">
        <f t="shared" si="0"/>
        <v>104.73181940369516</v>
      </c>
    </row>
    <row r="12" spans="1:6" s="2" customFormat="1" ht="14.1" customHeight="1" thickBot="1" x14ac:dyDescent="0.3">
      <c r="A12" s="143" t="s">
        <v>212</v>
      </c>
      <c r="B12" s="178">
        <f>IF(B11&lt;&gt;0,B5*100/B11,0)</f>
        <v>71.541070264962912</v>
      </c>
      <c r="C12" s="179">
        <f>IF(C11&lt;&gt;0,C5*100/C11,0)</f>
        <v>70.42674464249248</v>
      </c>
      <c r="D12" s="179">
        <f>IF(D11&lt;&gt;0,D5*100/D11,0)</f>
        <v>70.530633389406461</v>
      </c>
      <c r="E12" s="180">
        <f t="shared" si="0"/>
        <v>100.14751320317494</v>
      </c>
      <c r="F12"/>
    </row>
  </sheetData>
  <customSheetViews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38</vt:i4>
      </vt:variant>
    </vt:vector>
  </HeadingPairs>
  <TitlesOfParts>
    <vt:vector size="76" baseType="lpstr">
      <vt:lpstr>Info</vt:lpstr>
      <vt:lpstr>Tabele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Pr 1</vt:lpstr>
      <vt:lpstr>Pr 2</vt:lpstr>
      <vt:lpstr>Pr 3</vt:lpstr>
      <vt:lpstr>'Tab 32'!_ftn2</vt:lpstr>
      <vt:lpstr>'Tab 32'!_ftn3</vt:lpstr>
      <vt:lpstr>'Pr 1'!Print_Area</vt:lpstr>
      <vt:lpstr>'Pr 2'!Print_Area</vt:lpstr>
      <vt:lpstr>'Pr 3'!Print_Area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30'!Print_Area</vt:lpstr>
      <vt:lpstr>'Tab 31'!Print_Area</vt:lpstr>
      <vt:lpstr>'Tab 32'!Print_Area</vt:lpstr>
      <vt:lpstr>'Tab 33'!Print_Area</vt:lpstr>
      <vt:lpstr>'Tab 4'!Print_Area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2019-10-17T06:19:16Z</cp:lastPrinted>
  <dcterms:created xsi:type="dcterms:W3CDTF">2019-07-26T12:02:38Z</dcterms:created>
  <dcterms:modified xsi:type="dcterms:W3CDTF">2021-11-16T07:52:42Z</dcterms:modified>
</cp:coreProperties>
</file>