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gs-fs-01\IKT\WEB_ABRS\17 Za objavu\Final\2023\"/>
    </mc:Choice>
  </mc:AlternateContent>
  <xr:revisionPtr revIDLastSave="0" documentId="13_ncr:1_{36EF44DE-72D7-4076-B84A-CD5010F695F6}" xr6:coauthVersionLast="47" xr6:coauthVersionMax="47" xr10:uidLastSave="{00000000-0000-0000-0000-000000000000}"/>
  <bookViews>
    <workbookView xWindow="-108" yWindow="-108" windowWidth="30936" windowHeight="16776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" sheetId="11" r:id="rId7"/>
    <sheet name="Tab 5" sheetId="12" r:id="rId8"/>
    <sheet name="Tab 6" sheetId="13" r:id="rId9"/>
    <sheet name="Tab 7" sheetId="14" r:id="rId10"/>
    <sheet name="Tab 8" sheetId="15" r:id="rId11"/>
    <sheet name="Tab 9" sheetId="17" r:id="rId12"/>
    <sheet name="Tab 10" sheetId="18" r:id="rId13"/>
    <sheet name="Tab 11" sheetId="19" r:id="rId14"/>
    <sheet name="Tab 12" sheetId="22" r:id="rId15"/>
    <sheet name="Tab 13" sheetId="24" r:id="rId16"/>
    <sheet name="Tab 14" sheetId="25" r:id="rId17"/>
    <sheet name="Tab 15" sheetId="26" r:id="rId18"/>
    <sheet name="Tab 16" sheetId="29" r:id="rId19"/>
    <sheet name="Tab 17" sheetId="118" r:id="rId20"/>
    <sheet name="Tab 18" sheetId="288" r:id="rId21"/>
    <sheet name="Tab 19" sheetId="35" r:id="rId22"/>
    <sheet name="Tab 20" sheetId="138" r:id="rId23"/>
    <sheet name="Tab 21" sheetId="139" r:id="rId24"/>
    <sheet name="Tab 22" sheetId="140" r:id="rId25"/>
    <sheet name="Tab 23" sheetId="43" r:id="rId26"/>
    <sheet name="Tab 24" sheetId="44" r:id="rId27"/>
    <sheet name="Tab 25" sheetId="45" r:id="rId28"/>
    <sheet name="Tab 26" sheetId="30" r:id="rId29"/>
    <sheet name="Tab 27" sheetId="31" r:id="rId30"/>
    <sheet name="Tab 28" sheetId="32" r:id="rId31"/>
    <sheet name="Tab 29" sheetId="33" r:id="rId32"/>
    <sheet name="Tab 30" sheetId="50" r:id="rId33"/>
    <sheet name="Tab 31" sheetId="291" r:id="rId34"/>
    <sheet name="Tab 32" sheetId="189" r:id="rId35"/>
    <sheet name="Tab 33" sheetId="185" r:id="rId36"/>
    <sheet name="Tab 34" sheetId="51" r:id="rId37"/>
    <sheet name="Pr 1" sheetId="55" r:id="rId38"/>
    <sheet name="Pr 2" sheetId="7" r:id="rId39"/>
    <sheet name="Pr 3" sheetId="134" r:id="rId40"/>
  </sheets>
  <definedNames>
    <definedName name="_ftn2" localSheetId="35">'Tab 33'!$A$11</definedName>
    <definedName name="_ftn3" localSheetId="35">'Tab 33'!$A$12</definedName>
    <definedName name="polja">#REF!</definedName>
    <definedName name="polja1">#REF!</definedName>
    <definedName name="_xlnm.Print_Area" localSheetId="37">'Pr 1'!$A$1:$J$13</definedName>
    <definedName name="_xlnm.Print_Area" localSheetId="38">'Pr 2'!$A$1:$H$48</definedName>
    <definedName name="_xlnm.Print_Area" localSheetId="39">'Pr 3'!$A$1:$K$31</definedName>
    <definedName name="_xlnm.Print_Area" localSheetId="2">'Tab 0'!$B$1:$F$12</definedName>
    <definedName name="_xlnm.Print_Area" localSheetId="3">'Tab 1'!$A$1:$I$6</definedName>
    <definedName name="_xlnm.Print_Area" localSheetId="12">'Tab 10'!$A$1:$H$26</definedName>
    <definedName name="_xlnm.Print_Area" localSheetId="13">'Tab 11'!$A$1:$H$14</definedName>
    <definedName name="_xlnm.Print_Area" localSheetId="14">'Tab 12'!$A$1:$J$14</definedName>
    <definedName name="_xlnm.Print_Area" localSheetId="15">'Tab 13'!$A$1:$N$20</definedName>
    <definedName name="_xlnm.Print_Area" localSheetId="16">'Tab 14'!$A$1:$N$16</definedName>
    <definedName name="_xlnm.Print_Area" localSheetId="17">'Tab 15'!$A$1:$N$15</definedName>
    <definedName name="_xlnm.Print_Area" localSheetId="18">'Tab 16'!$A$1:$G$10</definedName>
    <definedName name="_xlnm.Print_Area" localSheetId="19">'Tab 17'!$A$2:$F$10</definedName>
    <definedName name="_xlnm.Print_Area" localSheetId="20">'Tab 18'!$A$1:$F$23</definedName>
    <definedName name="_xlnm.Print_Area" localSheetId="21">'Tab 19'!$A$1:$F$18</definedName>
    <definedName name="_xlnm.Print_Area" localSheetId="4">'Tab 2'!$A$1:$D$6</definedName>
    <definedName name="_xlnm.Print_Area" localSheetId="22">'Tab 20'!$A$1:$J$22</definedName>
    <definedName name="_xlnm.Print_Area" localSheetId="23">'Tab 21'!$A$1:$J$19</definedName>
    <definedName name="_xlnm.Print_Area" localSheetId="24">'Tab 22'!$A$1:$J$18</definedName>
    <definedName name="_xlnm.Print_Area" localSheetId="25">'Tab 23'!$A$1:$I$21</definedName>
    <definedName name="_xlnm.Print_Area" localSheetId="26">'Tab 24'!$A$1:$I$10</definedName>
    <definedName name="_xlnm.Print_Area" localSheetId="27">'Tab 25'!$A$1:$I$13</definedName>
    <definedName name="_xlnm.Print_Area" localSheetId="28">'Tab 26'!$A$1:$F$25</definedName>
    <definedName name="_xlnm.Print_Area" localSheetId="29">'Tab 27'!$A$1:$E$8</definedName>
    <definedName name="_xlnm.Print_Area" localSheetId="30">'Tab 28'!$A$1:$F$13</definedName>
    <definedName name="_xlnm.Print_Area" localSheetId="31">'Tab 29'!$A$1:$E$14</definedName>
    <definedName name="_xlnm.Print_Area" localSheetId="5">'Tab 3'!$A$1:$H$27</definedName>
    <definedName name="_xlnm.Print_Area" localSheetId="32">'Tab 30'!$A$1:$H$6</definedName>
    <definedName name="_xlnm.Print_Area" localSheetId="33">'Tab 31'!$A$1:$H$6</definedName>
    <definedName name="_xlnm.Print_Area" localSheetId="34">'Tab 32'!$A$1:$I$16</definedName>
    <definedName name="_xlnm.Print_Area" localSheetId="35">'Tab 33'!$A$1:$D$9</definedName>
    <definedName name="_xlnm.Print_Area" localSheetId="36">'Tab 34'!$A$1:$I$18</definedName>
    <definedName name="_xlnm.Print_Area" localSheetId="6">'Tab 4'!$A$1:$H$14</definedName>
    <definedName name="_xlnm.Print_Area" localSheetId="7">'Tab 5'!$A$1:$H$8</definedName>
    <definedName name="_xlnm.Print_Area" localSheetId="8">'Tab 6'!$A$1:$H$13</definedName>
    <definedName name="_xlnm.Print_Area" localSheetId="9">'Tab 7'!$A$1:$E$12</definedName>
    <definedName name="_xlnm.Print_Area" localSheetId="10">'Tab 8'!$A$1:$N$20</definedName>
    <definedName name="_xlnm.Print_Area" localSheetId="11">'Tab 9'!$A$1:$H$15</definedName>
    <definedName name="_xlnm.Print_Area" localSheetId="1">Tabele!$A$1:$B$39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91" l="1"/>
  <c r="G6" i="291"/>
  <c r="F6" i="291"/>
  <c r="E6" i="291"/>
  <c r="D6" i="291"/>
  <c r="C6" i="291"/>
  <c r="B6" i="291"/>
  <c r="H6" i="50" l="1"/>
  <c r="D13" i="288" l="1"/>
  <c r="E11" i="288" s="1"/>
  <c r="D8" i="288"/>
  <c r="E6" i="288" s="1"/>
  <c r="B8" i="288"/>
  <c r="C6" i="288" s="1"/>
  <c r="F21" i="288"/>
  <c r="F20" i="288"/>
  <c r="F18" i="288"/>
  <c r="F17" i="288"/>
  <c r="F16" i="288"/>
  <c r="F15" i="288"/>
  <c r="F12" i="288"/>
  <c r="F11" i="288"/>
  <c r="F10" i="288"/>
  <c r="F7" i="288"/>
  <c r="F6" i="288"/>
  <c r="F19" i="288"/>
  <c r="B13" i="288"/>
  <c r="F13" i="288" l="1"/>
  <c r="E12" i="288"/>
  <c r="E10" i="288"/>
  <c r="E13" i="288" s="1"/>
  <c r="E7" i="288"/>
  <c r="E8" i="288" s="1"/>
  <c r="D14" i="288"/>
  <c r="C10" i="288"/>
  <c r="C11" i="288"/>
  <c r="C12" i="288"/>
  <c r="C7" i="288"/>
  <c r="C8" i="288" s="1"/>
  <c r="F8" i="288"/>
  <c r="B14" i="288"/>
  <c r="C13" i="288" l="1"/>
  <c r="F14" i="288"/>
  <c r="E25" i="30" l="1"/>
  <c r="E24" i="30"/>
  <c r="F11" i="178" l="1"/>
  <c r="E11" i="178"/>
  <c r="D11" i="178"/>
  <c r="C11" i="178"/>
  <c r="F7" i="178"/>
  <c r="E7" i="178"/>
  <c r="D7" i="178"/>
  <c r="C7" i="178"/>
  <c r="F6" i="17" l="1"/>
  <c r="D6" i="17"/>
  <c r="H14" i="17" l="1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D16" i="30"/>
  <c r="F19" i="30" l="1"/>
  <c r="F24" i="30"/>
  <c r="F16" i="30"/>
  <c r="F25" i="30"/>
  <c r="F15" i="17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0" i="30"/>
  <c r="E22" i="30"/>
  <c r="E23" i="30"/>
  <c r="E5" i="30"/>
  <c r="D6" i="30"/>
  <c r="D7" i="30"/>
  <c r="D10" i="30"/>
  <c r="D11" i="30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F11" i="30" l="1"/>
  <c r="F23" i="30"/>
  <c r="F9" i="30"/>
  <c r="F5" i="30"/>
  <c r="F22" i="30"/>
  <c r="F13" i="30"/>
  <c r="F12" i="30"/>
  <c r="F10" i="30"/>
  <c r="F20" i="30"/>
  <c r="F7" i="30"/>
  <c r="F14" i="30"/>
  <c r="F6" i="30"/>
  <c r="C21" i="30"/>
  <c r="D8" i="30"/>
  <c r="C8" i="30"/>
  <c r="D21" i="30"/>
  <c r="E8" i="30"/>
  <c r="E21" i="30"/>
  <c r="E10" i="118"/>
  <c r="C10" i="118"/>
  <c r="F21" i="30" l="1"/>
  <c r="F8" i="30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H6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D30" i="7"/>
  <c r="E27" i="7" s="1"/>
  <c r="D21" i="7"/>
  <c r="E20" i="7" s="1"/>
  <c r="D13" i="7"/>
  <c r="E12" i="7" s="1"/>
  <c r="F40" i="7"/>
  <c r="B40" i="7"/>
  <c r="F35" i="7"/>
  <c r="B35" i="7"/>
  <c r="F30" i="7"/>
  <c r="G28" i="7" s="1"/>
  <c r="B30" i="7"/>
  <c r="C26" i="7" s="1"/>
  <c r="F21" i="7"/>
  <c r="G19" i="7" s="1"/>
  <c r="B21" i="7"/>
  <c r="C18" i="7" s="1"/>
  <c r="F13" i="7"/>
  <c r="G11" i="7" s="1"/>
  <c r="B13" i="7"/>
  <c r="C12" i="7" s="1"/>
  <c r="H35" i="7" l="1"/>
  <c r="E6" i="7"/>
  <c r="C25" i="7"/>
  <c r="C11" i="7"/>
  <c r="C9" i="7"/>
  <c r="E28" i="7"/>
  <c r="C10" i="7"/>
  <c r="C7" i="7"/>
  <c r="E29" i="7"/>
  <c r="C17" i="7"/>
  <c r="C29" i="7"/>
  <c r="C28" i="7"/>
  <c r="C6" i="7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1" i="7" s="1"/>
  <c r="H40" i="7"/>
  <c r="H21" i="7"/>
  <c r="H13" i="7"/>
  <c r="B22" i="7"/>
  <c r="B41" i="7"/>
  <c r="F41" i="7"/>
  <c r="F22" i="7"/>
  <c r="H22" i="7" l="1"/>
  <c r="C30" i="7"/>
  <c r="C21" i="7"/>
  <c r="C13" i="7"/>
  <c r="E21" i="7"/>
  <c r="E13" i="7"/>
  <c r="G21" i="7"/>
  <c r="G30" i="7"/>
  <c r="E30" i="7"/>
  <c r="G13" i="7"/>
  <c r="F14" i="259"/>
  <c r="B14" i="259"/>
  <c r="D14" i="259"/>
  <c r="F26" i="259" l="1"/>
  <c r="G23" i="259" s="1"/>
  <c r="F13" i="259"/>
  <c r="G10" i="259" s="1"/>
  <c r="D26" i="259"/>
  <c r="D13" i="259"/>
  <c r="E10" i="259" s="1"/>
  <c r="B26" i="259"/>
  <c r="C20" i="259" s="1"/>
  <c r="B13" i="259"/>
  <c r="C9" i="259" s="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G7" i="259" l="1"/>
  <c r="G19" i="259"/>
  <c r="G20" i="259"/>
  <c r="G21" i="259"/>
  <c r="G22" i="259"/>
  <c r="G8" i="259"/>
  <c r="G12" i="259"/>
  <c r="E21" i="259"/>
  <c r="E22" i="259"/>
  <c r="E19" i="259"/>
  <c r="E20" i="259"/>
  <c r="H26" i="259"/>
  <c r="E11" i="259"/>
  <c r="E12" i="259"/>
  <c r="H13" i="259"/>
  <c r="E7" i="259"/>
  <c r="E8" i="259"/>
  <c r="E9" i="259"/>
  <c r="C21" i="259"/>
  <c r="C22" i="259"/>
  <c r="C19" i="259"/>
  <c r="C23" i="259"/>
  <c r="C25" i="259"/>
  <c r="C11" i="259"/>
  <c r="C10" i="259"/>
  <c r="C12" i="259"/>
  <c r="C7" i="259"/>
  <c r="B17" i="259"/>
  <c r="C8" i="259"/>
  <c r="G9" i="259"/>
  <c r="F17" i="259"/>
  <c r="G25" i="259"/>
  <c r="G11" i="259"/>
  <c r="E23" i="259"/>
  <c r="D17" i="259"/>
  <c r="E25" i="259"/>
  <c r="G26" i="259" l="1"/>
  <c r="G13" i="259"/>
  <c r="H17" i="259"/>
  <c r="E26" i="259"/>
  <c r="E13" i="259"/>
  <c r="C26" i="259"/>
  <c r="C13" i="259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H18" i="18" s="1"/>
  <c r="B18" i="18"/>
  <c r="H17" i="18"/>
  <c r="H16" i="18"/>
  <c r="F15" i="18"/>
  <c r="D15" i="18"/>
  <c r="B15" i="18"/>
  <c r="H14" i="18"/>
  <c r="H13" i="18"/>
  <c r="F12" i="18"/>
  <c r="D12" i="18"/>
  <c r="B12" i="18"/>
  <c r="H11" i="18"/>
  <c r="H10" i="18"/>
  <c r="F9" i="18"/>
  <c r="D9" i="18"/>
  <c r="B9" i="18"/>
  <c r="H8" i="18"/>
  <c r="H7" i="18"/>
  <c r="F6" i="18"/>
  <c r="D6" i="18"/>
  <c r="B6" i="18"/>
  <c r="H12" i="18" l="1"/>
  <c r="H9" i="18"/>
  <c r="H25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6" i="13" l="1"/>
  <c r="B10" i="13"/>
  <c r="B13" i="13" l="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F62" i="30" l="1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L17" i="24"/>
  <c r="F17" i="24"/>
  <c r="N17" i="24" s="1"/>
  <c r="L16" i="24"/>
  <c r="F16" i="24"/>
  <c r="N16" i="24" s="1"/>
  <c r="L15" i="24"/>
  <c r="F15" i="24"/>
  <c r="L14" i="24"/>
  <c r="F14" i="24"/>
  <c r="N13" i="24"/>
  <c r="J12" i="24"/>
  <c r="H12" i="24"/>
  <c r="D12" i="24"/>
  <c r="B12" i="24"/>
  <c r="L11" i="24"/>
  <c r="F11" i="24"/>
  <c r="N11" i="24" s="1"/>
  <c r="L10" i="24"/>
  <c r="F10" i="24"/>
  <c r="L9" i="24"/>
  <c r="F9" i="24"/>
  <c r="N9" i="24" s="1"/>
  <c r="L8" i="24"/>
  <c r="F8" i="24"/>
  <c r="L7" i="24"/>
  <c r="F7" i="24"/>
  <c r="N13" i="15"/>
  <c r="F7" i="15"/>
  <c r="N10" i="24" l="1"/>
  <c r="N18" i="24"/>
  <c r="N15" i="24"/>
  <c r="N8" i="24"/>
  <c r="N7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E10" i="24"/>
  <c r="F12" i="24"/>
  <c r="N14" i="24"/>
  <c r="D6" i="6"/>
  <c r="D5" i="6"/>
  <c r="D4" i="6"/>
  <c r="H5" i="140"/>
  <c r="K11" i="24" l="1"/>
  <c r="K14" i="24"/>
  <c r="K7" i="24"/>
  <c r="N19" i="24"/>
  <c r="N12" i="24"/>
  <c r="K8" i="24"/>
  <c r="K15" i="24"/>
  <c r="K19" i="24" s="1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F20" i="24"/>
  <c r="K12" i="24" l="1"/>
  <c r="M9" i="24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F6" i="50" l="1"/>
  <c r="G6" i="50"/>
  <c r="D6" i="50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F51" i="30" l="1"/>
  <c r="F50" i="30"/>
  <c r="F47" i="30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B13" i="140"/>
  <c r="D13" i="140" s="1"/>
  <c r="I13" i="140"/>
  <c r="E9" i="140"/>
  <c r="C16" i="140"/>
  <c r="E16" i="140"/>
  <c r="C9" i="140"/>
  <c r="I8" i="140"/>
  <c r="C10" i="140"/>
  <c r="H8" i="140"/>
  <c r="H7" i="139"/>
  <c r="G10" i="140" l="1"/>
  <c r="D9" i="140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18" i="51" l="1"/>
  <c r="I17" i="51"/>
  <c r="H17" i="51"/>
  <c r="I16" i="51"/>
  <c r="H16" i="51"/>
  <c r="I15" i="51"/>
  <c r="H15" i="51"/>
  <c r="I14" i="51"/>
  <c r="H14" i="51"/>
  <c r="I13" i="51"/>
  <c r="H13" i="51"/>
  <c r="I12" i="51"/>
  <c r="H12" i="51"/>
  <c r="I11" i="51"/>
  <c r="H11" i="51"/>
  <c r="I10" i="51"/>
  <c r="H10" i="51"/>
  <c r="I9" i="51"/>
  <c r="H9" i="51"/>
  <c r="I8" i="51"/>
  <c r="H8" i="51"/>
  <c r="I7" i="51"/>
  <c r="H7" i="51"/>
  <c r="I6" i="51"/>
  <c r="H6" i="51"/>
  <c r="G18" i="51"/>
  <c r="F18" i="51"/>
  <c r="H18" i="51" l="1"/>
  <c r="I18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8" i="51"/>
  <c r="D18" i="51"/>
  <c r="C18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P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I13" i="55" l="1"/>
  <c r="H13" i="55"/>
  <c r="G13" i="55"/>
  <c r="J13" i="55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L13" i="25"/>
  <c r="F13" i="25"/>
  <c r="L12" i="25"/>
  <c r="F12" i="25"/>
  <c r="D16" i="25"/>
  <c r="B16" i="25"/>
  <c r="L9" i="25"/>
  <c r="F9" i="25"/>
  <c r="L8" i="25"/>
  <c r="F8" i="25"/>
  <c r="L7" i="25"/>
  <c r="F7" i="25"/>
  <c r="N9" i="25" l="1"/>
  <c r="N14" i="25"/>
  <c r="N13" i="25"/>
  <c r="N12" i="25"/>
  <c r="N8" i="25"/>
  <c r="N7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B6" i="14"/>
  <c r="B9" i="14" s="1"/>
  <c r="N15" i="25" l="1"/>
  <c r="N10" i="25"/>
  <c r="N12" i="15"/>
  <c r="N19" i="1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1" i="14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D12" i="14" l="1"/>
  <c r="E12" i="14" s="1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G16" i="25" l="1"/>
  <c r="M20" i="15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<sst xmlns="http://schemas.openxmlformats.org/spreadsheetml/2006/main" count="1235" uniqueCount="621">
  <si>
    <t>Датум</t>
  </si>
  <si>
    <t>Број запослених</t>
  </si>
  <si>
    <t>Износ</t>
  </si>
  <si>
    <t>%</t>
  </si>
  <si>
    <t>1.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</si>
  <si>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</si>
  <si>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</si>
  <si>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</si>
  <si>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</si>
  <si>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</si>
  <si>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</si>
  <si>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</si>
  <si>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4. Кредити (бруто)</t>
  </si>
  <si>
    <t>Банкомати</t>
  </si>
  <si>
    <t>Инд.</t>
  </si>
  <si>
    <t xml:space="preserve"> Депозити у КМ</t>
  </si>
  <si>
    <t>Укупно</t>
  </si>
  <si>
    <t>1. Краткорочни депозити</t>
  </si>
  <si>
    <t>2. Дугорочни депозити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</si>
  <si>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</si>
  <si>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</si>
  <si>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</si>
  <si>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</si>
  <si>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</si>
  <si>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</si>
  <si>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</si>
  <si>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</si>
  <si>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</si>
  <si>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</si>
  <si>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</si>
  <si>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</si>
  <si>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</si>
  <si>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</si>
  <si>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</si>
  <si>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</si>
  <si>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</si>
  <si>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</si>
  <si>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</si>
  <si>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</si>
  <si>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</si>
  <si>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</si>
  <si>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</si>
  <si>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</si>
  <si>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</si>
  <si>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</si>
  <si>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</si>
  <si>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</si>
  <si>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</si>
  <si>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</si>
  <si>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</si>
  <si>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</si>
  <si>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</si>
  <si>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</si>
  <si>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</si>
  <si>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</si>
  <si>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</si>
  <si>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</si>
  <si>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</si>
  <si>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</si>
  <si>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</si>
  <si>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</si>
  <si>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</si>
  <si>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</si>
  <si>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</si>
  <si>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</si>
  <si>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</si>
  <si>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</si>
  <si>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</si>
  <si>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</si>
  <si>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</si>
  <si>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</si>
  <si>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</si>
  <si>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</si>
  <si>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</si>
  <si>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</si>
  <si>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</si>
  <si>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</si>
  <si>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</si>
  <si>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</si>
  <si>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</si>
  <si>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</si>
  <si>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</si>
  <si>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</si>
  <si>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</si>
  <si>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</si>
  <si>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</si>
  <si>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</si>
  <si>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</si>
  <si>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</si>
  <si>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</si>
  <si>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</si>
  <si>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</si>
  <si>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</si>
  <si>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</si>
  <si>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</si>
  <si>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</si>
  <si>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</si>
  <si>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</si>
  <si>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 xml:space="preserve">УКУПНО </t>
  </si>
  <si>
    <t xml:space="preserve"> 2. Пословне јединице банака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</si>
  <si>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</si>
  <si>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</si>
  <si>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</si>
  <si>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</si>
  <si>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</si>
  <si>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</si>
  <si>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</si>
  <si>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</si>
  <si>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</si>
  <si>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</si>
  <si>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</si>
  <si>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</si>
  <si>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</si>
  <si>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</si>
  <si>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</si>
  <si>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</si>
  <si>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</si>
  <si>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group by datum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</si>
  <si>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</si>
  <si>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</si>
  <si>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</si>
  <si>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</si>
  <si>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</si>
  <si>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</si>
  <si>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</si>
  <si>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</si>
  <si>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</si>
  <si>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</si>
  <si>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</si>
  <si>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</si>
  <si>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</si>
  <si>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</si>
  <si>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</si>
  <si>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</si>
  <si>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</si>
  <si>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</si>
  <si>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</si>
  <si>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</si>
  <si>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</si>
  <si>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</si>
  <si>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</si>
  <si>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</si>
  <si>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</si>
  <si>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Укупни капитал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</si>
  <si>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</si>
  <si>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</si>
  <si>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</si>
  <si>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</si>
  <si>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</si>
  <si>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</si>
  <si>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</si>
  <si>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</si>
  <si>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</si>
  <si>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</si>
  <si>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</si>
  <si>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</si>
  <si>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</si>
  <si>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</si>
  <si>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</si>
  <si>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</si>
  <si>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</si>
  <si>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</si>
  <si>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</si>
  <si>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</si>
  <si>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</si>
  <si>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</si>
  <si>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</si>
  <si>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</si>
  <si>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</si>
  <si>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</si>
  <si>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</si>
  <si>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</si>
  <si>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</si>
  <si>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</si>
  <si>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</si>
  <si>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</si>
  <si>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</si>
  <si>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</si>
  <si>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</si>
  <si>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</si>
  <si>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</si>
  <si>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</si>
  <si>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</si>
  <si>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</si>
  <si>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</si>
  <si>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</si>
  <si>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</si>
  <si>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</si>
  <si>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</si>
  <si>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</si>
  <si>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</si>
  <si>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</si>
  <si>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</si>
  <si>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</si>
  <si>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</si>
  <si>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</si>
  <si>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</si>
  <si>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</si>
  <si>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</si>
  <si>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</si>
  <si>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</si>
  <si>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</si>
  <si>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</si>
  <si>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Депозити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</si>
  <si>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</si>
  <si>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</si>
  <si>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</si>
  <si>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</si>
  <si>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</si>
  <si>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</si>
  <si>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</si>
  <si>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</si>
  <si>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</si>
  <si>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</si>
  <si>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</si>
  <si>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</si>
  <si>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</si>
  <si>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</si>
  <si>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</si>
  <si>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</si>
  <si>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</si>
  <si>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</si>
  <si>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</si>
  <si>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</si>
  <si>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</si>
  <si>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092</t>
  </si>
  <si>
    <t>130</t>
  </si>
  <si>
    <t>140</t>
  </si>
  <si>
    <t>150</t>
  </si>
  <si>
    <t>160</t>
  </si>
  <si>
    <t>170</t>
  </si>
  <si>
    <t>180</t>
  </si>
  <si>
    <t>200</t>
  </si>
  <si>
    <t>340</t>
  </si>
  <si>
    <t>1.1.1.11</t>
  </si>
  <si>
    <t>350</t>
  </si>
  <si>
    <t>370</t>
  </si>
  <si>
    <t>440</t>
  </si>
  <si>
    <t>490</t>
  </si>
  <si>
    <t>500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</si>
  <si>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</si>
  <si>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</si>
  <si>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</si>
  <si>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</si>
  <si>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</si>
  <si>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</si>
  <si>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</si>
  <si>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</si>
  <si>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</si>
  <si>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</si>
  <si>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</si>
  <si>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</si>
  <si>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</si>
  <si>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</si>
  <si>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</si>
  <si>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</si>
  <si>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</si>
  <si>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</si>
  <si>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</si>
  <si>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</si>
  <si>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</si>
  <si>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</si>
  <si>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</si>
  <si>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</si>
  <si>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</si>
  <si>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</si>
  <si>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</si>
  <si>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</si>
  <si>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</si>
  <si>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</si>
  <si>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</si>
  <si>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</si>
  <si>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</si>
  <si>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</si>
  <si>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</si>
  <si>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</si>
  <si>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</si>
  <si>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</si>
  <si>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</si>
  <si>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</si>
  <si>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</si>
  <si>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</si>
  <si>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</si>
  <si>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</si>
  <si>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</si>
  <si>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</si>
  <si>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</si>
  <si>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</si>
  <si>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</si>
  <si>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</si>
  <si>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</si>
  <si>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</si>
  <si>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</si>
  <si>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</si>
  <si>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</si>
  <si>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</si>
  <si>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</si>
  <si>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</si>
  <si>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</si>
  <si>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</si>
  <si>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</si>
  <si>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</si>
  <si>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</si>
  <si>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Tab 34</t>
  </si>
  <si>
    <t>Pr 1</t>
  </si>
  <si>
    <t>Pr 2</t>
  </si>
  <si>
    <t>Табеле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</si>
  <si>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</si>
  <si>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</si>
  <si>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</si>
  <si>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</si>
  <si>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</si>
  <si>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</si>
  <si>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Остали организациони дијелови</t>
  </si>
  <si>
    <t>POS уређаји</t>
  </si>
  <si>
    <t>мил. КМ</t>
  </si>
  <si>
    <t>у укупној активи</t>
  </si>
  <si>
    <t>у укупном капиталу</t>
  </si>
  <si>
    <t>у депозитима</t>
  </si>
  <si>
    <t>АКТИВА (ИМОВИНА)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</si>
  <si>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</si>
  <si>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</si>
  <si>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</si>
  <si>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</si>
  <si>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</si>
  <si>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</si>
  <si>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</si>
  <si>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</si>
  <si>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</si>
  <si>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</si>
  <si>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</si>
  <si>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</si>
  <si>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</si>
  <si>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</si>
  <si>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</si>
  <si>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</si>
  <si>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</si>
  <si>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</si>
  <si>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</si>
  <si>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12/2019.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</si>
  <si>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</si>
  <si>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</si>
  <si>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</si>
  <si>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</si>
  <si>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</si>
  <si>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</si>
  <si>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</si>
  <si>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</si>
  <si>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</si>
  <si>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</si>
  <si>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</si>
  <si>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</si>
  <si>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</si>
  <si>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</si>
  <si>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</si>
  <si>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</si>
  <si>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</si>
  <si>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</si>
  <si>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</si>
  <si>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</si>
  <si>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</si>
  <si>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</si>
  <si>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</si>
  <si>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</si>
  <si>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</si>
  <si>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</si>
  <si>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</si>
  <si>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</si>
  <si>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</si>
  <si>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</si>
  <si>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</si>
  <si>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</si>
  <si>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</si>
  <si>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</si>
  <si>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</si>
  <si>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</si>
  <si>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</si>
  <si>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</si>
  <si>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</si>
  <si>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</si>
  <si>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</si>
  <si>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</si>
  <si>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</si>
  <si>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</si>
  <si>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</si>
  <si>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</si>
  <si>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</si>
  <si>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</si>
  <si>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</si>
  <si>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</si>
  <si>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</si>
  <si>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</si>
  <si>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</si>
  <si>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</si>
  <si>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</si>
  <si>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</si>
  <si>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</si>
  <si>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</si>
  <si>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</si>
  <si>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</si>
  <si>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</si>
  <si>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</si>
  <si>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</si>
  <si>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</si>
  <si>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</si>
  <si>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</si>
  <si>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</si>
  <si>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</si>
  <si>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</si>
  <si>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</si>
  <si>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</si>
  <si>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</si>
  <si>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</si>
  <si>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</si>
  <si>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</si>
  <si>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</si>
  <si>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</si>
  <si>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</si>
  <si>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</si>
  <si>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</si>
  <si>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</si>
  <si>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</si>
  <si>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</si>
  <si>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</si>
  <si>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</si>
  <si>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</si>
  <si>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</si>
  <si>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</si>
  <si>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</si>
  <si>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</si>
  <si>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</si>
  <si>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</si>
  <si>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</si>
  <si>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</si>
  <si>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</si>
  <si>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</si>
  <si>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</si>
  <si>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</si>
  <si>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</si>
  <si>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</si>
  <si>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</si>
  <si>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</si>
  <si>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</si>
  <si>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</si>
  <si>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</si>
  <si>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</si>
  <si>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</si>
  <si>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</si>
  <si>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</si>
  <si>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</si>
  <si>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</si>
  <si>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</si>
  <si>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</si>
  <si>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</si>
  <si>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</si>
  <si>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</si>
  <si>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</si>
  <si>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</si>
  <si>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девизе</t>
  </si>
  <si>
    <t>Tab 0</t>
  </si>
  <si>
    <t>Биланс успјеха</t>
  </si>
  <si>
    <t>a101a</t>
  </si>
  <si>
    <t>a101b</t>
  </si>
  <si>
    <t>a1</t>
  </si>
  <si>
    <t>a3</t>
  </si>
  <si>
    <t>a5</t>
  </si>
  <si>
    <t>a18b</t>
  </si>
  <si>
    <t>a26</t>
  </si>
  <si>
    <t>a2+a5</t>
  </si>
  <si>
    <t>a6+a7+a8+a9b</t>
  </si>
  <si>
    <t>a13+a14+a15+a18g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</si>
  <si>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</si>
  <si>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</si>
  <si>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</si>
  <si>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</si>
  <si>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</si>
  <si>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</si>
  <si>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</si>
  <si>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</si>
  <si>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</si>
  <si>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</si>
  <si>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</si>
  <si>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</si>
  <si>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</si>
  <si>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</si>
  <si>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</si>
  <si>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</si>
  <si>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</si>
  <si>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</si>
  <si>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</si>
  <si>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</si>
  <si>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</si>
  <si>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</si>
  <si>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</si>
  <si>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</si>
  <si>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</si>
  <si>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</si>
  <si>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</si>
  <si>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</si>
  <si>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</si>
  <si>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</si>
  <si>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</si>
  <si>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</si>
  <si>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</si>
  <si>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</si>
  <si>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</si>
  <si>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</si>
  <si>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</si>
  <si>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</si>
  <si>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</si>
  <si>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</si>
  <si>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</si>
  <si>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</si>
  <si>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</si>
  <si>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</si>
  <si>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</si>
  <si>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</si>
  <si>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</si>
  <si>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</si>
  <si>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</si>
  <si>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</si>
  <si>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</si>
  <si>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</si>
  <si>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</si>
  <si>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</si>
  <si>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</si>
  <si>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</si>
  <si>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</si>
  <si>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Kредити становништву 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</si>
  <si>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</si>
  <si>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</si>
  <si>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</si>
  <si>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</si>
  <si>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</si>
  <si>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</si>
  <si>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Пословне јединице/ Филијале</t>
  </si>
  <si>
    <t>ПАСИВА (ОБАВЕЗЕ И КАПИТАЛ)</t>
  </si>
  <si>
    <t>УКУПНО ВАНБИЛАНС</t>
  </si>
  <si>
    <t>Правна лица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</si>
  <si>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</si>
  <si>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</si>
  <si>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</si>
  <si>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</si>
  <si>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</si>
  <si>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</si>
  <si>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</si>
  <si>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</si>
  <si>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</si>
  <si>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Укупно кратк. депозити</t>
  </si>
  <si>
    <t>Укупно дугор. депозити</t>
  </si>
  <si>
    <t>Депозити по виђењу</t>
  </si>
  <si>
    <t>До 3 мјесеца</t>
  </si>
  <si>
    <t>До 1 године</t>
  </si>
  <si>
    <t xml:space="preserve">До 3 године </t>
  </si>
  <si>
    <t>Преко 3 године</t>
  </si>
  <si>
    <t>Укупно депозити</t>
  </si>
  <si>
    <t>од 1 до 5 година</t>
  </si>
  <si>
    <t>Коефицијент нето стабилних извора финансирања - NSFR</t>
  </si>
  <si>
    <t>1. Расположиво стабилно финансирање</t>
  </si>
  <si>
    <t>2. Потребно стабилно финансирање</t>
  </si>
  <si>
    <t>3.  Коефицијент нето стабилних извора финансирања - NSFR (1/2)</t>
  </si>
  <si>
    <t>2021.</t>
  </si>
  <si>
    <t>2022.</t>
  </si>
  <si>
    <t>03/2023.</t>
  </si>
  <si>
    <t>Банке из Републике Српске и организациони дијелови банака из ФБиХ у Републици Српској</t>
  </si>
  <si>
    <t>Структура кредита становништву банака из Републике Српске и пословних јединица банака из ФБиХ у Републици Српској</t>
  </si>
  <si>
    <t>Банке из Републике Српске</t>
  </si>
  <si>
    <t>II Организациони дијелови банака из ФБиХ у Републици Српској</t>
  </si>
  <si>
    <t>I Банке из Републике Српске</t>
  </si>
  <si>
    <t>Орг. дијелови банака из ФБиХ у Републици Српској</t>
  </si>
  <si>
    <t>1. банке из Републике Српске</t>
  </si>
  <si>
    <t>2. пословне јединице банака из Републике Српске у ФБиХ</t>
  </si>
  <si>
    <t>3. пословне јединице банака из ФБиХ у Републици Српској</t>
  </si>
  <si>
    <t>"Нова банка" а.д. Бања Лука</t>
  </si>
  <si>
    <t>"НЛБ банка" а.д. Бања Лука</t>
  </si>
  <si>
    <t>"UniCredit Bank" а.д. Бања Лука</t>
  </si>
  <si>
    <t>"Atos Bank" а.д. Бања Лука</t>
  </si>
  <si>
    <t>"Addiko Bank" а.д. Бања Лука</t>
  </si>
  <si>
    <t>"МФ банка" а.д. Бања Лука</t>
  </si>
  <si>
    <t>"Банка Поштанска штедионица" а.д. Бања Лука</t>
  </si>
  <si>
    <t>становништвo</t>
  </si>
  <si>
    <t>становништво</t>
  </si>
  <si>
    <t>06/2023.</t>
  </si>
  <si>
    <t xml:space="preserve"> 1. Банке Републике Српске</t>
  </si>
  <si>
    <t xml:space="preserve"> 4. Минус: Пословне јед. банака Републике Српске у ФБиХ</t>
  </si>
  <si>
    <t>ТАБЕЛЕ ЗА ИЗВЈЕШТАЈ О СТАЊУ У БАНКАРСКОМ СЕКТОРУ РЕПУБЛИКЕ СРПСКЕ</t>
  </si>
  <si>
    <t xml:space="preserve"> Депозити у страној валути</t>
  </si>
  <si>
    <t>31.12.2023</t>
  </si>
  <si>
    <t>2023.</t>
  </si>
  <si>
    <t>31.12.2022</t>
  </si>
  <si>
    <t>"Наша банка" а.д. Бaња Лука</t>
  </si>
  <si>
    <t>12/2020.</t>
  </si>
  <si>
    <t>12/2021.</t>
  </si>
  <si>
    <t>12/2022.</t>
  </si>
  <si>
    <t>12/2023.</t>
  </si>
  <si>
    <t>09/2023.</t>
  </si>
  <si>
    <t>01/2023.</t>
  </si>
  <si>
    <t>02/2023.</t>
  </si>
  <si>
    <t>04/2023.</t>
  </si>
  <si>
    <t>05/2023.</t>
  </si>
  <si>
    <t>07/2023.</t>
  </si>
  <si>
    <t>08/2023.</t>
  </si>
  <si>
    <t>10/2023.</t>
  </si>
  <si>
    <t>11/2023.</t>
  </si>
  <si>
    <t>Јеврејска 71</t>
  </si>
  <si>
    <t>Јеврејска 69</t>
  </si>
  <si>
    <t>Алеја Светог Саве 13</t>
  </si>
  <si>
    <t>Алеја светог Саве 61</t>
  </si>
  <si>
    <t>Гордан Пехар</t>
  </si>
  <si>
    <t>Милана Тепића 4</t>
  </si>
  <si>
    <t>Горан Бабић</t>
  </si>
  <si>
    <t>Марије Бурсаћ 7</t>
  </si>
  <si>
    <t>Срђан Кондић</t>
  </si>
  <si>
    <t>Бојан Лубурић</t>
  </si>
  <si>
    <t>Дејан Вуклишевић</t>
  </si>
  <si>
    <t>Краља Алфонса 13 бр 37А</t>
  </si>
  <si>
    <t>Ивана Фрање Јукића 1</t>
  </si>
  <si>
    <t>Синиша Аџић</t>
  </si>
  <si>
    <t>Игор Јовичић</t>
  </si>
  <si>
    <t>Бошко Мекињић</t>
  </si>
  <si>
    <t>Бања Лука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</si>
</sst>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179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3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0" fillId="0" borderId="0"/>
    <xf numFmtId="0" fontId="23" fillId="0" borderId="0"/>
    <xf numFmtId="0" fontId="8" fillId="0" borderId="0"/>
    <xf numFmtId="0" fontId="34" fillId="0" borderId="0"/>
    <xf numFmtId="0" fontId="35" fillId="0" borderId="0"/>
    <xf numFmtId="0" fontId="6" fillId="0" borderId="0"/>
    <xf numFmtId="9" fontId="6" fillId="0" borderId="0" applyFont="0" applyFill="0" applyBorder="0" applyAlignment="0" applyProtection="0"/>
    <xf numFmtId="0" fontId="34" fillId="0" borderId="0"/>
    <xf numFmtId="0" fontId="41" fillId="0" borderId="0"/>
    <xf numFmtId="0" fontId="8" fillId="0" borderId="0"/>
    <xf numFmtId="0" fontId="42" fillId="0" borderId="0" applyBorder="0"/>
    <xf numFmtId="0" fontId="43" fillId="0" borderId="0"/>
    <xf numFmtId="0" fontId="43" fillId="0" borderId="0"/>
    <xf numFmtId="0" fontId="35" fillId="0" borderId="0"/>
    <xf numFmtId="0" fontId="44" fillId="0" borderId="0"/>
    <xf numFmtId="0" fontId="6" fillId="0" borderId="0"/>
    <xf numFmtId="0" fontId="23" fillId="0" borderId="0"/>
    <xf numFmtId="0" fontId="6" fillId="0" borderId="0"/>
    <xf numFmtId="9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2" fillId="10" borderId="0"/>
    <xf numFmtId="0" fontId="6" fillId="0" borderId="0"/>
  </cellStyleXfs>
  <cellXfs count="858">
    <xf numFmtId="0" fontId="0" fillId="0" borderId="0" xfId="0"/>
    <xf numFmtId="0" fontId="1" fillId="0" borderId="0" xfId="1" applyAlignment="1">
      <alignment vertical="center"/>
    </xf>
    <xf numFmtId="0" fontId="4" fillId="0" borderId="0" xfId="0" applyFont="1"/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Alignment="1">
      <alignment vertical="center" wrapText="1"/>
    </xf>
    <xf numFmtId="164" fontId="9" fillId="5" borderId="0" xfId="0" applyNumberFormat="1" applyFont="1" applyFill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20" fillId="0" borderId="0" xfId="0" applyFont="1"/>
    <xf numFmtId="49" fontId="9" fillId="5" borderId="0" xfId="0" applyNumberFormat="1" applyFont="1" applyFill="1" applyAlignment="1">
      <alignment vertical="center" wrapText="1"/>
    </xf>
    <xf numFmtId="0" fontId="12" fillId="0" borderId="0" xfId="0" applyFont="1"/>
    <xf numFmtId="0" fontId="24" fillId="0" borderId="0" xfId="7" applyFont="1" applyAlignment="1">
      <alignment horizontal="center"/>
    </xf>
    <xf numFmtId="0" fontId="25" fillId="0" borderId="0" xfId="7" applyFont="1" applyAlignment="1">
      <alignment horizontal="left" wrapText="1"/>
    </xf>
    <xf numFmtId="0" fontId="26" fillId="0" borderId="0" xfId="7" applyFont="1" applyAlignment="1">
      <alignment horizontal="right" vertical="center"/>
    </xf>
    <xf numFmtId="22" fontId="23" fillId="0" borderId="0" xfId="7" applyNumberFormat="1"/>
    <xf numFmtId="0" fontId="12" fillId="5" borderId="0" xfId="0" applyFont="1" applyFill="1"/>
    <xf numFmtId="0" fontId="16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3" fillId="0" borderId="0" xfId="7"/>
    <xf numFmtId="14" fontId="23" fillId="0" borderId="0" xfId="7" applyNumberFormat="1"/>
    <xf numFmtId="0" fontId="38" fillId="0" borderId="0" xfId="1" applyFont="1" applyAlignment="1">
      <alignment vertical="center"/>
    </xf>
    <xf numFmtId="14" fontId="36" fillId="0" borderId="0" xfId="7" applyNumberFormat="1" applyFont="1"/>
    <xf numFmtId="0" fontId="40" fillId="0" borderId="0" xfId="7" applyFont="1"/>
    <xf numFmtId="14" fontId="40" fillId="0" borderId="0" xfId="7" applyNumberFormat="1" applyFont="1"/>
    <xf numFmtId="0" fontId="23" fillId="0" borderId="0" xfId="7" applyAlignment="1">
      <alignment horizontal="right" vertical="center"/>
    </xf>
    <xf numFmtId="0" fontId="37" fillId="0" borderId="0" xfId="0" applyFont="1"/>
    <xf numFmtId="0" fontId="26" fillId="0" borderId="7" xfId="0" applyFont="1" applyBorder="1" applyAlignment="1">
      <alignment vertical="center"/>
    </xf>
    <xf numFmtId="0" fontId="36" fillId="0" borderId="0" xfId="7" applyFont="1"/>
    <xf numFmtId="0" fontId="23" fillId="0" borderId="0" xfId="7" applyAlignment="1">
      <alignment horizontal="center" vertical="center"/>
    </xf>
    <xf numFmtId="3" fontId="23" fillId="0" borderId="0" xfId="7" applyNumberFormat="1"/>
    <xf numFmtId="0" fontId="27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31" fillId="7" borderId="0" xfId="0" applyFont="1" applyFill="1"/>
    <xf numFmtId="3" fontId="9" fillId="5" borderId="0" xfId="0" applyNumberFormat="1" applyFont="1" applyFill="1" applyAlignment="1">
      <alignment horizontal="right" vertical="center" wrapText="1" indent="1"/>
    </xf>
    <xf numFmtId="0" fontId="46" fillId="7" borderId="0" xfId="0" applyFont="1" applyFill="1" applyAlignment="1">
      <alignment horizontal="right" vertical="center"/>
    </xf>
    <xf numFmtId="0" fontId="48" fillId="0" borderId="0" xfId="0" applyFont="1" applyAlignment="1">
      <alignment horizontal="left" vertical="center" inden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0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2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16" xfId="0" applyFont="1" applyFill="1" applyBorder="1" applyAlignment="1">
      <alignment vertical="center" wrapText="1"/>
    </xf>
    <xf numFmtId="164" fontId="12" fillId="5" borderId="33" xfId="0" applyNumberFormat="1" applyFont="1" applyFill="1" applyBorder="1" applyAlignment="1">
      <alignment horizontal="right" vertical="center" wrapText="1" indent="1"/>
    </xf>
    <xf numFmtId="164" fontId="12" fillId="5" borderId="16" xfId="0" applyNumberFormat="1" applyFont="1" applyFill="1" applyBorder="1" applyAlignment="1">
      <alignment horizontal="right" vertical="center" wrapText="1" indent="1"/>
    </xf>
    <xf numFmtId="0" fontId="12" fillId="5" borderId="15" xfId="0" applyFont="1" applyFill="1" applyBorder="1" applyAlignment="1">
      <alignment horizontal="right" vertical="center" wrapText="1" indent="1"/>
    </xf>
    <xf numFmtId="0" fontId="12" fillId="5" borderId="16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center" vertical="center" wrapText="1"/>
    </xf>
    <xf numFmtId="0" fontId="29" fillId="8" borderId="0" xfId="0" applyFont="1" applyFill="1" applyAlignment="1">
      <alignment vertical="center"/>
    </xf>
    <xf numFmtId="0" fontId="49" fillId="7" borderId="0" xfId="0" applyFont="1" applyFill="1" applyAlignment="1">
      <alignment horizontal="right" vertical="center" wrapText="1"/>
    </xf>
    <xf numFmtId="0" fontId="50" fillId="5" borderId="0" xfId="0" applyFont="1" applyFill="1" applyAlignment="1">
      <alignment horizontal="center" vertical="center" wrapText="1"/>
    </xf>
    <xf numFmtId="3" fontId="9" fillId="5" borderId="34" xfId="0" applyNumberFormat="1" applyFont="1" applyFill="1" applyBorder="1" applyAlignment="1">
      <alignment horizontal="right" vertical="center" wrapText="1" indent="1"/>
    </xf>
    <xf numFmtId="164" fontId="9" fillId="5" borderId="34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35" xfId="0" applyNumberFormat="1" applyFont="1" applyFill="1" applyBorder="1" applyAlignment="1">
      <alignment horizontal="right" vertical="center" wrapText="1" indent="1"/>
    </xf>
    <xf numFmtId="164" fontId="9" fillId="5" borderId="35" xfId="0" applyNumberFormat="1" applyFont="1" applyFill="1" applyBorder="1" applyAlignment="1">
      <alignment horizontal="right" vertical="center" wrapText="1" indent="1"/>
    </xf>
    <xf numFmtId="0" fontId="10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0" xfId="0" applyNumberFormat="1" applyFont="1" applyFill="1" applyBorder="1" applyAlignment="1">
      <alignment horizontal="right" vertical="center" wrapText="1"/>
    </xf>
    <xf numFmtId="0" fontId="10" fillId="5" borderId="45" xfId="0" applyFont="1" applyFill="1" applyBorder="1" applyAlignment="1">
      <alignment vertical="center" wrapText="1"/>
    </xf>
    <xf numFmtId="0" fontId="51" fillId="7" borderId="0" xfId="0" applyFont="1" applyFill="1" applyAlignment="1">
      <alignment vertical="center"/>
    </xf>
    <xf numFmtId="0" fontId="50" fillId="5" borderId="49" xfId="0" applyFont="1" applyFill="1" applyBorder="1" applyAlignment="1">
      <alignment horizontal="center" vertical="center" wrapText="1"/>
    </xf>
    <xf numFmtId="0" fontId="53" fillId="7" borderId="0" xfId="0" applyFont="1" applyFill="1" applyAlignment="1">
      <alignment horizontal="left"/>
    </xf>
    <xf numFmtId="0" fontId="14" fillId="5" borderId="1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vertical="center" wrapText="1"/>
    </xf>
    <xf numFmtId="164" fontId="10" fillId="5" borderId="22" xfId="0" applyNumberFormat="1" applyFont="1" applyFill="1" applyBorder="1" applyAlignment="1">
      <alignment horizontal="right" vertical="center" wrapText="1" inden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51" fillId="8" borderId="0" xfId="0" applyFont="1" applyFill="1" applyAlignment="1">
      <alignment vertical="center"/>
    </xf>
    <xf numFmtId="0" fontId="54" fillId="8" borderId="0" xfId="0" applyFont="1" applyFill="1" applyAlignment="1">
      <alignment vertical="center" wrapText="1"/>
    </xf>
    <xf numFmtId="0" fontId="9" fillId="5" borderId="61" xfId="0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vertical="center" wrapText="1"/>
    </xf>
    <xf numFmtId="1" fontId="10" fillId="5" borderId="45" xfId="0" applyNumberFormat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53" fillId="7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2" xfId="0" applyNumberFormat="1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vertical="center" wrapTex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5" fontId="10" fillId="3" borderId="10" xfId="0" applyNumberFormat="1" applyFont="1" applyFill="1" applyBorder="1" applyAlignment="1">
      <alignment horizontal="right" vertical="center" wrapText="1" indent="1"/>
    </xf>
    <xf numFmtId="3" fontId="9" fillId="5" borderId="11" xfId="0" applyNumberFormat="1" applyFont="1" applyFill="1" applyBorder="1" applyAlignment="1">
      <alignment horizontal="right" vertical="center" wrapText="1" indent="1"/>
    </xf>
    <xf numFmtId="164" fontId="10" fillId="5" borderId="20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3" xfId="0" applyNumberFormat="1" applyFont="1" applyFill="1" applyBorder="1" applyAlignment="1">
      <alignment horizontal="right" vertical="center" wrapText="1" indent="1"/>
    </xf>
    <xf numFmtId="1" fontId="10" fillId="5" borderId="2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4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164" fontId="9" fillId="5" borderId="20" xfId="0" applyNumberFormat="1" applyFont="1" applyFill="1" applyBorder="1" applyAlignment="1">
      <alignment horizontal="right" vertical="center" wrapText="1" indent="1"/>
    </xf>
    <xf numFmtId="3" fontId="9" fillId="5" borderId="20" xfId="0" applyNumberFormat="1" applyFont="1" applyFill="1" applyBorder="1" applyAlignment="1">
      <alignment horizontal="right" vertical="center" wrapText="1" indent="1"/>
    </xf>
    <xf numFmtId="0" fontId="10" fillId="5" borderId="14" xfId="0" applyFont="1" applyFill="1" applyBorder="1" applyAlignment="1">
      <alignment vertical="center" wrapText="1"/>
    </xf>
    <xf numFmtId="165" fontId="10" fillId="5" borderId="63" xfId="2" applyNumberFormat="1" applyFont="1" applyFill="1" applyBorder="1" applyAlignment="1">
      <alignment horizontal="right" vertical="center" wrapText="1" indent="1"/>
    </xf>
    <xf numFmtId="3" fontId="10" fillId="5" borderId="63" xfId="0" applyNumberFormat="1" applyFont="1" applyFill="1" applyBorder="1" applyAlignment="1">
      <alignment horizontal="right" vertical="center" wrapText="1" indent="1"/>
    </xf>
    <xf numFmtId="165" fontId="10" fillId="5" borderId="22" xfId="2" applyNumberFormat="1" applyFont="1" applyFill="1" applyBorder="1" applyAlignment="1">
      <alignment horizontal="right" vertical="center" wrapText="1" indent="1"/>
    </xf>
    <xf numFmtId="1" fontId="10" fillId="5" borderId="22" xfId="0" applyNumberFormat="1" applyFont="1" applyFill="1" applyBorder="1" applyAlignment="1">
      <alignment horizontal="right" vertical="center" wrapText="1" indent="1"/>
    </xf>
    <xf numFmtId="0" fontId="55" fillId="5" borderId="37" xfId="0" applyFont="1" applyFill="1" applyBorder="1" applyAlignment="1">
      <alignment horizontal="center" vertical="center" wrapText="1"/>
    </xf>
    <xf numFmtId="0" fontId="55" fillId="5" borderId="36" xfId="0" applyFont="1" applyFill="1" applyBorder="1" applyAlignment="1">
      <alignment horizontal="center" vertical="center" wrapText="1"/>
    </xf>
    <xf numFmtId="0" fontId="55" fillId="5" borderId="38" xfId="0" applyFont="1" applyFill="1" applyBorder="1" applyAlignment="1">
      <alignment horizontal="center" vertical="center" wrapText="1"/>
    </xf>
    <xf numFmtId="164" fontId="9" fillId="5" borderId="40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57" xfId="0" applyFont="1" applyFill="1" applyBorder="1" applyAlignment="1">
      <alignment vertical="center" wrapText="1"/>
    </xf>
    <xf numFmtId="49" fontId="10" fillId="5" borderId="49" xfId="0" applyNumberFormat="1" applyFont="1" applyFill="1" applyBorder="1" applyAlignment="1">
      <alignment horizontal="center" vertical="center" wrapText="1"/>
    </xf>
    <xf numFmtId="0" fontId="37" fillId="0" borderId="0" xfId="7" applyFont="1"/>
    <xf numFmtId="0" fontId="39" fillId="0" borderId="0" xfId="7" applyFont="1"/>
    <xf numFmtId="0" fontId="46" fillId="7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9" fillId="0" borderId="0" xfId="0" applyFont="1"/>
    <xf numFmtId="0" fontId="52" fillId="8" borderId="0" xfId="0" applyFont="1" applyFill="1" applyAlignment="1">
      <alignment vertical="center" wrapText="1"/>
    </xf>
    <xf numFmtId="49" fontId="14" fillId="5" borderId="70" xfId="0" applyNumberFormat="1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vertical="center" wrapText="1"/>
    </xf>
    <xf numFmtId="164" fontId="14" fillId="5" borderId="0" xfId="0" applyNumberFormat="1" applyFont="1" applyFill="1" applyAlignment="1">
      <alignment horizontal="right" vertical="center" wrapText="1" indent="1"/>
    </xf>
    <xf numFmtId="164" fontId="17" fillId="5" borderId="21" xfId="0" applyNumberFormat="1" applyFont="1" applyFill="1" applyBorder="1" applyAlignment="1">
      <alignment horizontal="right" vertical="center" wrapText="1" indent="1"/>
    </xf>
    <xf numFmtId="49" fontId="17" fillId="5" borderId="69" xfId="0" applyNumberFormat="1" applyFont="1" applyFill="1" applyBorder="1" applyAlignment="1">
      <alignment horizontal="center" vertical="center" wrapText="1"/>
    </xf>
    <xf numFmtId="49" fontId="17" fillId="5" borderId="70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64" fontId="9" fillId="5" borderId="49" xfId="0" applyNumberFormat="1" applyFont="1" applyFill="1" applyBorder="1" applyAlignment="1">
      <alignment horizontal="right" vertical="center" wrapText="1"/>
    </xf>
    <xf numFmtId="0" fontId="55" fillId="5" borderId="0" xfId="0" applyFont="1" applyFill="1" applyAlignment="1">
      <alignment vertical="center" wrapText="1"/>
    </xf>
    <xf numFmtId="0" fontId="60" fillId="5" borderId="0" xfId="0" applyFont="1" applyFill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5" fillId="5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" fontId="10" fillId="5" borderId="57" xfId="0" applyNumberFormat="1" applyFont="1" applyFill="1" applyBorder="1" applyAlignment="1">
      <alignment horizontal="right" vertical="center" wrapText="1"/>
    </xf>
    <xf numFmtId="0" fontId="55" fillId="5" borderId="51" xfId="0" applyFont="1" applyFill="1" applyBorder="1" applyAlignment="1">
      <alignment horizontal="center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0" fontId="9" fillId="5" borderId="12" xfId="0" applyFont="1" applyFill="1" applyBorder="1" applyAlignment="1">
      <alignment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12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top" wrapText="1"/>
    </xf>
    <xf numFmtId="164" fontId="9" fillId="5" borderId="12" xfId="0" applyNumberFormat="1" applyFont="1" applyFill="1" applyBorder="1" applyAlignment="1">
      <alignment horizontal="right" vertical="top" wrapText="1"/>
    </xf>
    <xf numFmtId="0" fontId="10" fillId="5" borderId="23" xfId="0" applyFont="1" applyFill="1" applyBorder="1" applyAlignment="1">
      <alignment vertical="center" wrapText="1"/>
    </xf>
    <xf numFmtId="164" fontId="10" fillId="5" borderId="22" xfId="2" applyNumberFormat="1" applyFont="1" applyFill="1" applyBorder="1" applyAlignment="1">
      <alignment vertical="center" wrapText="1"/>
    </xf>
    <xf numFmtId="164" fontId="10" fillId="5" borderId="23" xfId="2" applyNumberFormat="1" applyFont="1" applyFill="1" applyBorder="1" applyAlignment="1">
      <alignment vertical="center" wrapText="1"/>
    </xf>
    <xf numFmtId="3" fontId="10" fillId="5" borderId="21" xfId="2" applyNumberFormat="1" applyFont="1" applyFill="1" applyBorder="1" applyAlignment="1">
      <alignment horizontal="right" vertical="center" wrapText="1"/>
    </xf>
    <xf numFmtId="1" fontId="10" fillId="5" borderId="21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1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 indent="1"/>
    </xf>
    <xf numFmtId="0" fontId="5" fillId="5" borderId="11" xfId="0" applyFont="1" applyFill="1" applyBorder="1" applyAlignment="1">
      <alignment horizontal="center" vertical="center" wrapText="1"/>
    </xf>
    <xf numFmtId="164" fontId="5" fillId="5" borderId="20" xfId="0" applyNumberFormat="1" applyFont="1" applyFill="1" applyBorder="1" applyAlignment="1">
      <alignment horizontal="right" vertical="center" wrapText="1" indent="1"/>
    </xf>
    <xf numFmtId="14" fontId="18" fillId="5" borderId="82" xfId="7" applyNumberFormat="1" applyFont="1" applyFill="1" applyBorder="1" applyAlignment="1">
      <alignment horizontal="center" vertical="center" wrapText="1"/>
    </xf>
    <xf numFmtId="0" fontId="18" fillId="5" borderId="83" xfId="7" applyFont="1" applyFill="1" applyBorder="1" applyAlignment="1">
      <alignment horizontal="center" vertical="center" wrapText="1"/>
    </xf>
    <xf numFmtId="14" fontId="18" fillId="5" borderId="83" xfId="7" applyNumberFormat="1" applyFont="1" applyFill="1" applyBorder="1" applyAlignment="1">
      <alignment horizontal="center" vertical="center" wrapText="1"/>
    </xf>
    <xf numFmtId="0" fontId="63" fillId="5" borderId="42" xfId="7" applyFont="1" applyFill="1" applyBorder="1" applyAlignment="1">
      <alignment vertical="center" wrapText="1"/>
    </xf>
    <xf numFmtId="49" fontId="63" fillId="5" borderId="0" xfId="7" applyNumberFormat="1" applyFont="1" applyFill="1" applyAlignment="1">
      <alignment horizontal="left" wrapText="1"/>
    </xf>
    <xf numFmtId="49" fontId="45" fillId="5" borderId="0" xfId="7" applyNumberFormat="1" applyFont="1" applyFill="1" applyAlignment="1">
      <alignment horizontal="left" vertical="center" wrapText="1"/>
    </xf>
    <xf numFmtId="49" fontId="64" fillId="5" borderId="0" xfId="7" applyNumberFormat="1" applyFont="1" applyFill="1" applyAlignment="1">
      <alignment horizontal="left" vertical="center" wrapText="1"/>
    </xf>
    <xf numFmtId="49" fontId="45" fillId="5" borderId="6" xfId="7" applyNumberFormat="1" applyFont="1" applyFill="1" applyBorder="1" applyAlignment="1">
      <alignment horizontal="left" vertical="center" wrapText="1"/>
    </xf>
    <xf numFmtId="49" fontId="63" fillId="5" borderId="8" xfId="7" applyNumberFormat="1" applyFont="1" applyFill="1" applyBorder="1" applyAlignment="1">
      <alignment horizontal="left" vertical="center" wrapText="1"/>
    </xf>
    <xf numFmtId="0" fontId="45" fillId="5" borderId="0" xfId="7" applyFont="1" applyFill="1" applyAlignment="1">
      <alignment horizontal="left" vertical="center" wrapText="1"/>
    </xf>
    <xf numFmtId="0" fontId="18" fillId="5" borderId="88" xfId="7" applyFont="1" applyFill="1" applyBorder="1" applyAlignment="1">
      <alignment horizontal="left" vertical="center" wrapText="1"/>
    </xf>
    <xf numFmtId="0" fontId="46" fillId="7" borderId="36" xfId="7" applyFont="1" applyFill="1" applyBorder="1" applyAlignment="1">
      <alignment vertical="center"/>
    </xf>
    <xf numFmtId="0" fontId="18" fillId="5" borderId="90" xfId="7" applyFont="1" applyFill="1" applyBorder="1" applyAlignment="1">
      <alignment horizontal="center" vertical="center" wrapText="1"/>
    </xf>
    <xf numFmtId="0" fontId="67" fillId="0" borderId="0" xfId="7" applyFont="1"/>
    <xf numFmtId="0" fontId="46" fillId="7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7" fillId="5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164" fontId="18" fillId="5" borderId="88" xfId="7" applyNumberFormat="1" applyFont="1" applyFill="1" applyBorder="1" applyAlignment="1">
      <alignment horizontal="right" vertical="center" wrapText="1" indent="1"/>
    </xf>
    <xf numFmtId="164" fontId="18" fillId="3" borderId="88" xfId="7" applyNumberFormat="1" applyFont="1" applyFill="1" applyBorder="1" applyAlignment="1">
      <alignment horizontal="right" vertical="center" wrapText="1" indent="1"/>
    </xf>
    <xf numFmtId="49" fontId="10" fillId="5" borderId="19" xfId="0" applyNumberFormat="1" applyFont="1" applyFill="1" applyBorder="1" applyAlignment="1">
      <alignment horizontal="right" vertical="center" wrapText="1" indent="1"/>
    </xf>
    <xf numFmtId="49" fontId="10" fillId="5" borderId="11" xfId="0" applyNumberFormat="1" applyFont="1" applyFill="1" applyBorder="1" applyAlignment="1">
      <alignment horizontal="right" vertical="center" wrapText="1" indent="1"/>
    </xf>
    <xf numFmtId="165" fontId="9" fillId="5" borderId="20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3" xfId="0" applyNumberFormat="1" applyFont="1" applyFill="1" applyBorder="1" applyAlignment="1">
      <alignment horizontal="right" vertical="center" wrapText="1" indent="1"/>
    </xf>
    <xf numFmtId="165" fontId="9" fillId="5" borderId="16" xfId="0" applyNumberFormat="1" applyFont="1" applyFill="1" applyBorder="1" applyAlignment="1">
      <alignment horizontal="right" vertical="center" wrapText="1" indent="1"/>
    </xf>
    <xf numFmtId="0" fontId="21" fillId="5" borderId="11" xfId="0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1" xfId="3" applyFont="1" applyFill="1" applyBorder="1" applyAlignment="1">
      <alignment horizontal="left" vertical="center" wrapText="1" indent="1"/>
    </xf>
    <xf numFmtId="0" fontId="22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2" fillId="5" borderId="21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7" fillId="5" borderId="19" xfId="3" applyFont="1" applyFill="1" applyBorder="1" applyAlignment="1">
      <alignment horizontal="center" vertical="center" wrapText="1"/>
    </xf>
    <xf numFmtId="0" fontId="47" fillId="5" borderId="11" xfId="3" applyFont="1" applyFill="1" applyBorder="1" applyAlignment="1">
      <alignment horizontal="center" vertical="center" wrapText="1"/>
    </xf>
    <xf numFmtId="0" fontId="47" fillId="5" borderId="10" xfId="3" applyFont="1" applyFill="1" applyBorder="1" applyAlignment="1">
      <alignment horizontal="center" vertical="center" wrapText="1"/>
    </xf>
    <xf numFmtId="0" fontId="46" fillId="7" borderId="0" xfId="0" applyFont="1" applyFill="1" applyAlignment="1">
      <alignment vertical="center" wrapText="1"/>
    </xf>
    <xf numFmtId="0" fontId="9" fillId="5" borderId="11" xfId="7" applyFont="1" applyFill="1" applyBorder="1" applyAlignment="1">
      <alignment horizontal="right" vertical="center" wrapText="1" indent="1"/>
    </xf>
    <xf numFmtId="0" fontId="9" fillId="5" borderId="10" xfId="7" applyFont="1" applyFill="1" applyBorder="1" applyAlignment="1">
      <alignment horizontal="right" vertical="center" wrapText="1" indent="1"/>
    </xf>
    <xf numFmtId="0" fontId="9" fillId="5" borderId="19" xfId="7" applyFont="1" applyFill="1" applyBorder="1" applyAlignment="1">
      <alignment horizontal="right" vertical="center" wrapText="1" indent="1"/>
    </xf>
    <xf numFmtId="0" fontId="7" fillId="0" borderId="0" xfId="7" applyFont="1"/>
    <xf numFmtId="0" fontId="55" fillId="5" borderId="0" xfId="7" applyFont="1" applyFill="1" applyAlignment="1">
      <alignment vertical="center" wrapText="1"/>
    </xf>
    <xf numFmtId="164" fontId="55" fillId="5" borderId="0" xfId="7" applyNumberFormat="1" applyFont="1" applyFill="1" applyAlignment="1">
      <alignment horizontal="right" vertical="center" wrapText="1" indent="1"/>
    </xf>
    <xf numFmtId="165" fontId="55" fillId="3" borderId="12" xfId="7" applyNumberFormat="1" applyFont="1" applyFill="1" applyBorder="1" applyAlignment="1">
      <alignment horizontal="right" vertical="center" wrapText="1" indent="1"/>
    </xf>
    <xf numFmtId="164" fontId="55" fillId="5" borderId="20" xfId="7" applyNumberFormat="1" applyFont="1" applyFill="1" applyBorder="1" applyAlignment="1">
      <alignment horizontal="right" vertical="center" wrapText="1" indent="1"/>
    </xf>
    <xf numFmtId="1" fontId="55" fillId="5" borderId="0" xfId="7" applyNumberFormat="1" applyFont="1" applyFill="1" applyAlignment="1">
      <alignment horizontal="right" vertical="center" wrapText="1" indent="1"/>
    </xf>
    <xf numFmtId="0" fontId="60" fillId="5" borderId="11" xfId="7" applyFont="1" applyFill="1" applyBorder="1" applyAlignment="1">
      <alignment horizontal="left" vertical="center" wrapText="1"/>
    </xf>
    <xf numFmtId="164" fontId="60" fillId="5" borderId="11" xfId="7" applyNumberFormat="1" applyFont="1" applyFill="1" applyBorder="1" applyAlignment="1">
      <alignment horizontal="right" vertical="center" wrapText="1" indent="1"/>
    </xf>
    <xf numFmtId="165" fontId="60" fillId="3" borderId="10" xfId="7" applyNumberFormat="1" applyFont="1" applyFill="1" applyBorder="1" applyAlignment="1">
      <alignment horizontal="right" vertical="center" wrapText="1" indent="1"/>
    </xf>
    <xf numFmtId="164" fontId="60" fillId="5" borderId="19" xfId="7" applyNumberFormat="1" applyFont="1" applyFill="1" applyBorder="1" applyAlignment="1">
      <alignment horizontal="right" vertical="center" wrapText="1" indent="1"/>
    </xf>
    <xf numFmtId="1" fontId="60" fillId="5" borderId="11" xfId="7" applyNumberFormat="1" applyFont="1" applyFill="1" applyBorder="1" applyAlignment="1">
      <alignment horizontal="right" vertical="center" wrapText="1" indent="1"/>
    </xf>
    <xf numFmtId="0" fontId="55" fillId="5" borderId="0" xfId="7" applyFont="1" applyFill="1" applyAlignment="1">
      <alignment horizontal="left" vertical="center" wrapText="1"/>
    </xf>
    <xf numFmtId="0" fontId="60" fillId="5" borderId="16" xfId="7" applyFont="1" applyFill="1" applyBorder="1" applyAlignment="1">
      <alignment horizontal="left" vertical="center" wrapText="1"/>
    </xf>
    <xf numFmtId="164" fontId="60" fillId="5" borderId="16" xfId="7" applyNumberFormat="1" applyFont="1" applyFill="1" applyBorder="1" applyAlignment="1">
      <alignment horizontal="right" vertical="center" wrapText="1" indent="1"/>
    </xf>
    <xf numFmtId="1" fontId="60" fillId="3" borderId="15" xfId="7" applyNumberFormat="1" applyFont="1" applyFill="1" applyBorder="1" applyAlignment="1">
      <alignment horizontal="right" vertical="center" wrapText="1" indent="1"/>
    </xf>
    <xf numFmtId="164" fontId="60" fillId="5" borderId="33" xfId="7" applyNumberFormat="1" applyFont="1" applyFill="1" applyBorder="1" applyAlignment="1">
      <alignment horizontal="right" vertical="center" wrapText="1" indent="1"/>
    </xf>
    <xf numFmtId="1" fontId="60" fillId="5" borderId="16" xfId="7" applyNumberFormat="1" applyFont="1" applyFill="1" applyBorder="1" applyAlignment="1">
      <alignment horizontal="right" vertical="center" wrapText="1" indent="1"/>
    </xf>
    <xf numFmtId="49" fontId="23" fillId="0" borderId="0" xfId="7" applyNumberFormat="1"/>
    <xf numFmtId="0" fontId="72" fillId="0" borderId="0" xfId="7" applyFont="1"/>
    <xf numFmtId="0" fontId="73" fillId="0" borderId="0" xfId="7" applyFont="1"/>
    <xf numFmtId="0" fontId="5" fillId="5" borderId="0" xfId="3" applyFont="1" applyFill="1" applyAlignment="1">
      <alignment horizontal="left" vertical="center" wrapText="1"/>
    </xf>
    <xf numFmtId="0" fontId="21" fillId="5" borderId="2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1" xfId="3" applyFont="1" applyFill="1" applyBorder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70" fillId="5" borderId="98" xfId="7" applyFont="1" applyFill="1" applyBorder="1"/>
    <xf numFmtId="0" fontId="0" fillId="0" borderId="98" xfId="0" applyBorder="1"/>
    <xf numFmtId="49" fontId="14" fillId="5" borderId="11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20" xfId="0" applyNumberFormat="1" applyFont="1" applyFill="1" applyBorder="1" applyAlignment="1">
      <alignment horizontal="right" vertical="top" wrapText="1" indent="1"/>
    </xf>
    <xf numFmtId="164" fontId="10" fillId="5" borderId="0" xfId="0" applyNumberFormat="1" applyFont="1" applyFill="1" applyAlignment="1">
      <alignment horizontal="right" vertical="top" wrapText="1" indent="1"/>
    </xf>
    <xf numFmtId="3" fontId="10" fillId="5" borderId="0" xfId="0" applyNumberFormat="1" applyFont="1" applyFill="1" applyAlignment="1">
      <alignment horizontal="right" vertical="top" wrapText="1" indent="1"/>
    </xf>
    <xf numFmtId="49" fontId="10" fillId="5" borderId="14" xfId="0" applyNumberFormat="1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164" fontId="10" fillId="5" borderId="63" xfId="0" applyNumberFormat="1" applyFont="1" applyFill="1" applyBorder="1" applyAlignment="1">
      <alignment horizontal="right" vertical="top" wrapText="1" indent="1"/>
    </xf>
    <xf numFmtId="164" fontId="10" fillId="5" borderId="14" xfId="0" applyNumberFormat="1" applyFont="1" applyFill="1" applyBorder="1" applyAlignment="1">
      <alignment horizontal="right" vertical="top" wrapText="1" indent="1"/>
    </xf>
    <xf numFmtId="3" fontId="10" fillId="5" borderId="14" xfId="0" applyNumberFormat="1" applyFont="1" applyFill="1" applyBorder="1" applyAlignment="1">
      <alignment horizontal="right" vertical="top" wrapText="1" indent="1"/>
    </xf>
    <xf numFmtId="49" fontId="9" fillId="5" borderId="0" xfId="0" applyNumberFormat="1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4" fontId="9" fillId="5" borderId="20" xfId="0" applyNumberFormat="1" applyFont="1" applyFill="1" applyBorder="1" applyAlignment="1">
      <alignment horizontal="right" vertical="top" wrapText="1" indent="1"/>
    </xf>
    <xf numFmtId="164" fontId="9" fillId="5" borderId="0" xfId="0" applyNumberFormat="1" applyFont="1" applyFill="1" applyAlignment="1">
      <alignment horizontal="right" vertical="top" wrapText="1" indent="1"/>
    </xf>
    <xf numFmtId="3" fontId="9" fillId="5" borderId="0" xfId="0" applyNumberFormat="1" applyFont="1" applyFill="1" applyAlignment="1">
      <alignment horizontal="right" vertical="top" wrapText="1" indent="1"/>
    </xf>
    <xf numFmtId="49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 wrapText="1"/>
    </xf>
    <xf numFmtId="164" fontId="9" fillId="5" borderId="19" xfId="0" applyNumberFormat="1" applyFont="1" applyFill="1" applyBorder="1" applyAlignment="1">
      <alignment horizontal="right" vertical="top" wrapText="1" indent="1"/>
    </xf>
    <xf numFmtId="164" fontId="9" fillId="5" borderId="11" xfId="0" applyNumberFormat="1" applyFont="1" applyFill="1" applyBorder="1" applyAlignment="1">
      <alignment horizontal="right" vertical="top" wrapText="1" indent="1"/>
    </xf>
    <xf numFmtId="49" fontId="9" fillId="5" borderId="16" xfId="0" applyNumberFormat="1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164" fontId="9" fillId="5" borderId="33" xfId="0" applyNumberFormat="1" applyFont="1" applyFill="1" applyBorder="1" applyAlignment="1">
      <alignment horizontal="right" vertical="top" wrapText="1" indent="1"/>
    </xf>
    <xf numFmtId="164" fontId="9" fillId="5" borderId="16" xfId="0" applyNumberFormat="1" applyFont="1" applyFill="1" applyBorder="1" applyAlignment="1">
      <alignment horizontal="right" vertical="top" wrapText="1" indent="1"/>
    </xf>
    <xf numFmtId="3" fontId="9" fillId="5" borderId="16" xfId="0" applyNumberFormat="1" applyFont="1" applyFill="1" applyBorder="1" applyAlignment="1">
      <alignment horizontal="right" vertical="top" wrapText="1" indent="1"/>
    </xf>
    <xf numFmtId="0" fontId="15" fillId="0" borderId="0" xfId="0" applyFont="1"/>
    <xf numFmtId="49" fontId="21" fillId="5" borderId="19" xfId="0" applyNumberFormat="1" applyFont="1" applyFill="1" applyBorder="1" applyAlignment="1">
      <alignment horizontal="center" vertical="center" wrapText="1"/>
    </xf>
    <xf numFmtId="49" fontId="21" fillId="5" borderId="11" xfId="0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vertical="center" wrapText="1"/>
    </xf>
    <xf numFmtId="164" fontId="21" fillId="5" borderId="20" xfId="0" applyNumberFormat="1" applyFont="1" applyFill="1" applyBorder="1" applyAlignment="1">
      <alignment horizontal="right" vertical="center" wrapText="1" indent="1"/>
    </xf>
    <xf numFmtId="164" fontId="21" fillId="5" borderId="0" xfId="0" applyNumberFormat="1" applyFont="1" applyFill="1" applyAlignment="1">
      <alignment horizontal="right" vertical="center" wrapText="1" indent="1"/>
    </xf>
    <xf numFmtId="3" fontId="21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left" vertical="center" wrapText="1"/>
    </xf>
    <xf numFmtId="164" fontId="5" fillId="5" borderId="33" xfId="2" applyNumberFormat="1" applyFont="1" applyFill="1" applyBorder="1" applyAlignment="1">
      <alignment horizontal="right" vertical="center" wrapText="1" indent="1"/>
    </xf>
    <xf numFmtId="164" fontId="5" fillId="5" borderId="16" xfId="2" applyNumberFormat="1" applyFont="1" applyFill="1" applyBorder="1" applyAlignment="1">
      <alignment horizontal="right" vertical="center" wrapText="1" indent="1"/>
    </xf>
    <xf numFmtId="3" fontId="5" fillId="5" borderId="16" xfId="0" applyNumberFormat="1" applyFont="1" applyFill="1" applyBorder="1" applyAlignment="1">
      <alignment horizontal="right" vertical="center" wrapText="1" indent="1"/>
    </xf>
    <xf numFmtId="0" fontId="46" fillId="7" borderId="0" xfId="7" applyFont="1" applyFill="1" applyAlignment="1">
      <alignment horizontal="right" vertical="center"/>
    </xf>
    <xf numFmtId="49" fontId="21" fillId="5" borderId="19" xfId="0" applyNumberFormat="1" applyFont="1" applyFill="1" applyBorder="1" applyAlignment="1">
      <alignment horizontal="right" vertical="center" wrapText="1" indent="1"/>
    </xf>
    <xf numFmtId="49" fontId="21" fillId="5" borderId="11" xfId="0" applyNumberFormat="1" applyFont="1" applyFill="1" applyBorder="1" applyAlignment="1">
      <alignment horizontal="right" vertical="center" wrapText="1" indent="1"/>
    </xf>
    <xf numFmtId="0" fontId="21" fillId="5" borderId="14" xfId="0" applyFont="1" applyFill="1" applyBorder="1" applyAlignment="1">
      <alignment horizontal="left" vertical="center" wrapText="1"/>
    </xf>
    <xf numFmtId="164" fontId="21" fillId="5" borderId="63" xfId="0" applyNumberFormat="1" applyFont="1" applyFill="1" applyBorder="1" applyAlignment="1">
      <alignment horizontal="right" vertical="center" wrapText="1" indent="1"/>
    </xf>
    <xf numFmtId="164" fontId="21" fillId="5" borderId="14" xfId="0" applyNumberFormat="1" applyFont="1" applyFill="1" applyBorder="1" applyAlignment="1">
      <alignment horizontal="right" vertical="center" wrapText="1" indent="1"/>
    </xf>
    <xf numFmtId="3" fontId="21" fillId="5" borderId="14" xfId="0" applyNumberFormat="1" applyFont="1" applyFill="1" applyBorder="1" applyAlignment="1">
      <alignment horizontal="right" vertical="center" wrapText="1" indent="1"/>
    </xf>
    <xf numFmtId="0" fontId="21" fillId="3" borderId="11" xfId="0" applyFont="1" applyFill="1" applyBorder="1" applyAlignment="1">
      <alignment horizontal="left" vertical="center" wrapText="1"/>
    </xf>
    <xf numFmtId="166" fontId="21" fillId="3" borderId="19" xfId="2" applyNumberFormat="1" applyFont="1" applyFill="1" applyBorder="1" applyAlignment="1">
      <alignment horizontal="right" vertical="center" wrapText="1" indent="1"/>
    </xf>
    <xf numFmtId="166" fontId="21" fillId="3" borderId="11" xfId="2" applyNumberFormat="1" applyFont="1" applyFill="1" applyBorder="1" applyAlignment="1">
      <alignment horizontal="right" vertical="center" wrapText="1" indent="1"/>
    </xf>
    <xf numFmtId="3" fontId="21" fillId="3" borderId="11" xfId="0" applyNumberFormat="1" applyFont="1" applyFill="1" applyBorder="1" applyAlignment="1">
      <alignment horizontal="right" vertical="center" wrapText="1" indent="1"/>
    </xf>
    <xf numFmtId="0" fontId="21" fillId="3" borderId="16" xfId="0" applyFont="1" applyFill="1" applyBorder="1" applyAlignment="1">
      <alignment horizontal="left" vertical="center" wrapText="1"/>
    </xf>
    <xf numFmtId="166" fontId="21" fillId="3" borderId="33" xfId="2" applyNumberFormat="1" applyFont="1" applyFill="1" applyBorder="1" applyAlignment="1">
      <alignment horizontal="right" vertical="center" wrapText="1" indent="1"/>
    </xf>
    <xf numFmtId="166" fontId="21" fillId="3" borderId="16" xfId="2" applyNumberFormat="1" applyFont="1" applyFill="1" applyBorder="1" applyAlignment="1">
      <alignment horizontal="right" vertical="center" wrapText="1" indent="1"/>
    </xf>
    <xf numFmtId="3" fontId="21" fillId="3" borderId="16" xfId="0" applyNumberFormat="1" applyFont="1" applyFill="1" applyBorder="1" applyAlignment="1">
      <alignment horizontal="right" vertical="center" wrapText="1" indent="1"/>
    </xf>
    <xf numFmtId="166" fontId="10" fillId="5" borderId="22" xfId="2" applyNumberFormat="1" applyFont="1" applyFill="1" applyBorder="1" applyAlignment="1">
      <alignment horizontal="right" vertical="center" wrapText="1" indent="1"/>
    </xf>
    <xf numFmtId="166" fontId="10" fillId="5" borderId="21" xfId="2" applyNumberFormat="1" applyFont="1" applyFill="1" applyBorder="1" applyAlignment="1">
      <alignment horizontal="right" vertical="center" wrapText="1" indent="1"/>
    </xf>
    <xf numFmtId="0" fontId="9" fillId="5" borderId="11" xfId="0" applyFont="1" applyFill="1" applyBorder="1" applyAlignment="1">
      <alignment horizontal="center" vertical="center" wrapText="1"/>
    </xf>
    <xf numFmtId="0" fontId="49" fillId="7" borderId="0" xfId="0" applyFont="1" applyFill="1" applyAlignment="1">
      <alignment horizontal="right" vertical="center"/>
    </xf>
    <xf numFmtId="49" fontId="10" fillId="5" borderId="50" xfId="0" applyNumberFormat="1" applyFont="1" applyFill="1" applyBorder="1" applyAlignment="1">
      <alignment horizontal="center" vertical="center" wrapText="1"/>
    </xf>
    <xf numFmtId="49" fontId="10" fillId="5" borderId="48" xfId="0" applyNumberFormat="1" applyFont="1" applyFill="1" applyBorder="1" applyAlignment="1">
      <alignment horizontal="center" vertical="center" wrapText="1"/>
    </xf>
    <xf numFmtId="164" fontId="9" fillId="5" borderId="56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Alignment="1">
      <alignment horizontal="right" vertical="center" wrapText="1"/>
    </xf>
    <xf numFmtId="164" fontId="12" fillId="5" borderId="56" xfId="0" applyNumberFormat="1" applyFont="1" applyFill="1" applyBorder="1" applyAlignment="1">
      <alignment horizontal="right" vertical="center" wrapText="1"/>
    </xf>
    <xf numFmtId="0" fontId="60" fillId="5" borderId="66" xfId="0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164" fontId="10" fillId="5" borderId="57" xfId="2" applyNumberFormat="1" applyFont="1" applyFill="1" applyBorder="1" applyAlignment="1">
      <alignment vertical="center" wrapText="1"/>
    </xf>
    <xf numFmtId="0" fontId="55" fillId="5" borderId="113" xfId="0" applyFont="1" applyFill="1" applyBorder="1" applyAlignment="1">
      <alignment horizontal="center" vertical="center" wrapText="1"/>
    </xf>
    <xf numFmtId="49" fontId="10" fillId="5" borderId="37" xfId="0" applyNumberFormat="1" applyFont="1" applyFill="1" applyBorder="1" applyAlignment="1">
      <alignment horizontal="right" vertical="center" wrapText="1" indent="1"/>
    </xf>
    <xf numFmtId="49" fontId="10" fillId="5" borderId="36" xfId="0" applyNumberFormat="1" applyFont="1" applyFill="1" applyBorder="1" applyAlignment="1">
      <alignment horizontal="right" vertical="center" wrapText="1" indent="1"/>
    </xf>
    <xf numFmtId="0" fontId="9" fillId="5" borderId="85" xfId="0" applyFont="1" applyFill="1" applyBorder="1" applyAlignment="1">
      <alignment vertical="center" wrapText="1"/>
    </xf>
    <xf numFmtId="164" fontId="9" fillId="5" borderId="91" xfId="0" applyNumberFormat="1" applyFont="1" applyFill="1" applyBorder="1" applyAlignment="1">
      <alignment horizontal="right" vertical="center" wrapText="1" indent="1"/>
    </xf>
    <xf numFmtId="164" fontId="9" fillId="5" borderId="85" xfId="0" applyNumberFormat="1" applyFont="1" applyFill="1" applyBorder="1" applyAlignment="1">
      <alignment horizontal="right" vertical="center" wrapText="1" indent="1"/>
    </xf>
    <xf numFmtId="166" fontId="10" fillId="5" borderId="40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88" xfId="0" applyFont="1" applyFill="1" applyBorder="1" applyAlignment="1">
      <alignment vertical="center" wrapText="1"/>
    </xf>
    <xf numFmtId="166" fontId="10" fillId="5" borderId="96" xfId="0" applyNumberFormat="1" applyFont="1" applyFill="1" applyBorder="1" applyAlignment="1">
      <alignment horizontal="right" vertical="center" wrapText="1" indent="1"/>
    </xf>
    <xf numFmtId="166" fontId="10" fillId="5" borderId="88" xfId="0" applyNumberFormat="1" applyFont="1" applyFill="1" applyBorder="1" applyAlignment="1">
      <alignment horizontal="right" vertical="center" wrapText="1" indent="1"/>
    </xf>
    <xf numFmtId="164" fontId="10" fillId="5" borderId="23" xfId="0" applyNumberFormat="1" applyFont="1" applyFill="1" applyBorder="1" applyAlignment="1">
      <alignment horizontal="right" vertical="center" wrapText="1" indent="1"/>
    </xf>
    <xf numFmtId="164" fontId="10" fillId="5" borderId="21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6" fillId="7" borderId="0" xfId="7" applyFont="1" applyFill="1" applyAlignment="1">
      <alignment horizontal="left" vertical="center"/>
    </xf>
    <xf numFmtId="0" fontId="0" fillId="0" borderId="0" xfId="0" applyAlignment="1">
      <alignment vertical="center"/>
    </xf>
    <xf numFmtId="164" fontId="69" fillId="0" borderId="0" xfId="0" applyNumberFormat="1" applyFont="1" applyAlignment="1">
      <alignment horizontal="right" vertical="center" wrapText="1"/>
    </xf>
    <xf numFmtId="0" fontId="22" fillId="5" borderId="117" xfId="0" applyFont="1" applyFill="1" applyBorder="1" applyAlignment="1">
      <alignment horizontal="center" vertical="center" wrapText="1"/>
    </xf>
    <xf numFmtId="0" fontId="22" fillId="5" borderId="120" xfId="0" applyFont="1" applyFill="1" applyBorder="1" applyAlignment="1">
      <alignment horizontal="center" vertical="center" wrapText="1"/>
    </xf>
    <xf numFmtId="0" fontId="12" fillId="5" borderId="121" xfId="0" applyFont="1" applyFill="1" applyBorder="1" applyAlignment="1">
      <alignment horizontal="left" vertical="center" wrapText="1"/>
    </xf>
    <xf numFmtId="164" fontId="12" fillId="5" borderId="122" xfId="0" applyNumberFormat="1" applyFont="1" applyFill="1" applyBorder="1" applyAlignment="1">
      <alignment horizontal="right" vertical="center" wrapText="1" indent="1"/>
    </xf>
    <xf numFmtId="0" fontId="12" fillId="5" borderId="123" xfId="0" applyFont="1" applyFill="1" applyBorder="1" applyAlignment="1">
      <alignment horizontal="right" vertical="center" wrapText="1"/>
    </xf>
    <xf numFmtId="0" fontId="12" fillId="5" borderId="124" xfId="0" applyFont="1" applyFill="1" applyBorder="1" applyAlignment="1">
      <alignment horizontal="left" vertical="center" wrapText="1"/>
    </xf>
    <xf numFmtId="164" fontId="12" fillId="5" borderId="125" xfId="0" applyNumberFormat="1" applyFont="1" applyFill="1" applyBorder="1" applyAlignment="1">
      <alignment horizontal="right" vertical="center" wrapText="1" indent="1"/>
    </xf>
    <xf numFmtId="0" fontId="12" fillId="5" borderId="126" xfId="0" applyFont="1" applyFill="1" applyBorder="1" applyAlignment="1">
      <alignment horizontal="right" vertical="center" wrapText="1"/>
    </xf>
    <xf numFmtId="0" fontId="12" fillId="5" borderId="127" xfId="0" applyFont="1" applyFill="1" applyBorder="1" applyAlignment="1">
      <alignment horizontal="left" vertical="center" wrapText="1"/>
    </xf>
    <xf numFmtId="164" fontId="12" fillId="5" borderId="128" xfId="0" applyNumberFormat="1" applyFont="1" applyFill="1" applyBorder="1" applyAlignment="1">
      <alignment horizontal="right" vertical="center" wrapText="1" indent="1"/>
    </xf>
    <xf numFmtId="0" fontId="12" fillId="5" borderId="129" xfId="0" applyFont="1" applyFill="1" applyBorder="1" applyAlignment="1">
      <alignment horizontal="right" vertical="center" wrapText="1"/>
    </xf>
    <xf numFmtId="0" fontId="12" fillId="5" borderId="105" xfId="0" applyFont="1" applyFill="1" applyBorder="1" applyAlignment="1">
      <alignment vertical="center" wrapText="1"/>
    </xf>
    <xf numFmtId="0" fontId="12" fillId="5" borderId="130" xfId="0" applyFont="1" applyFill="1" applyBorder="1" applyAlignment="1">
      <alignment vertical="center" wrapText="1"/>
    </xf>
    <xf numFmtId="0" fontId="16" fillId="5" borderId="130" xfId="0" applyFont="1" applyFill="1" applyBorder="1" applyAlignment="1">
      <alignment horizontal="right" vertical="center" wrapText="1"/>
    </xf>
    <xf numFmtId="164" fontId="16" fillId="5" borderId="130" xfId="0" applyNumberFormat="1" applyFont="1" applyFill="1" applyBorder="1" applyAlignment="1">
      <alignment horizontal="right" vertical="center" wrapText="1" indent="1"/>
    </xf>
    <xf numFmtId="0" fontId="9" fillId="5" borderId="132" xfId="0" applyFont="1" applyFill="1" applyBorder="1" applyAlignment="1">
      <alignment vertical="center" wrapText="1"/>
    </xf>
    <xf numFmtId="164" fontId="9" fillId="5" borderId="102" xfId="0" applyNumberFormat="1" applyFont="1" applyFill="1" applyBorder="1" applyAlignment="1">
      <alignment horizontal="right" vertical="center" wrapText="1" indent="1"/>
    </xf>
    <xf numFmtId="164" fontId="9" fillId="5" borderId="132" xfId="0" applyNumberFormat="1" applyFont="1" applyFill="1" applyBorder="1" applyAlignment="1">
      <alignment horizontal="right" vertical="center" wrapText="1" indent="1"/>
    </xf>
    <xf numFmtId="164" fontId="9" fillId="5" borderId="133" xfId="0" applyNumberFormat="1" applyFont="1" applyFill="1" applyBorder="1" applyAlignment="1">
      <alignment horizontal="right" vertical="center" wrapText="1" indent="1"/>
    </xf>
    <xf numFmtId="165" fontId="9" fillId="5" borderId="132" xfId="0" applyNumberFormat="1" applyFont="1" applyFill="1" applyBorder="1" applyAlignment="1">
      <alignment horizontal="right" vertical="center" wrapText="1" indent="1"/>
    </xf>
    <xf numFmtId="0" fontId="9" fillId="5" borderId="103" xfId="0" applyFont="1" applyFill="1" applyBorder="1" applyAlignment="1">
      <alignment vertical="center" wrapText="1"/>
    </xf>
    <xf numFmtId="164" fontId="9" fillId="5" borderId="134" xfId="0" applyNumberFormat="1" applyFont="1" applyFill="1" applyBorder="1" applyAlignment="1">
      <alignment horizontal="right" vertical="center" wrapText="1" indent="1"/>
    </xf>
    <xf numFmtId="164" fontId="9" fillId="5" borderId="103" xfId="0" applyNumberFormat="1" applyFont="1" applyFill="1" applyBorder="1" applyAlignment="1">
      <alignment horizontal="right" vertical="center" wrapText="1" indent="1"/>
    </xf>
    <xf numFmtId="164" fontId="9" fillId="5" borderId="135" xfId="0" applyNumberFormat="1" applyFont="1" applyFill="1" applyBorder="1" applyAlignment="1">
      <alignment horizontal="right" vertical="center" wrapText="1" indent="1"/>
    </xf>
    <xf numFmtId="165" fontId="9" fillId="5" borderId="103" xfId="0" applyNumberFormat="1" applyFont="1" applyFill="1" applyBorder="1" applyAlignment="1">
      <alignment horizontal="right" vertical="center" wrapText="1" indent="1"/>
    </xf>
    <xf numFmtId="0" fontId="9" fillId="5" borderId="136" xfId="0" applyFont="1" applyFill="1" applyBorder="1" applyAlignment="1">
      <alignment vertical="center" wrapText="1"/>
    </xf>
    <xf numFmtId="164" fontId="9" fillId="5" borderId="137" xfId="0" applyNumberFormat="1" applyFont="1" applyFill="1" applyBorder="1" applyAlignment="1">
      <alignment horizontal="right" vertical="center" wrapText="1" indent="1"/>
    </xf>
    <xf numFmtId="164" fontId="9" fillId="5" borderId="136" xfId="0" applyNumberFormat="1" applyFont="1" applyFill="1" applyBorder="1" applyAlignment="1">
      <alignment horizontal="right" vertical="center" wrapText="1" indent="1"/>
    </xf>
    <xf numFmtId="164" fontId="9" fillId="5" borderId="138" xfId="0" applyNumberFormat="1" applyFont="1" applyFill="1" applyBorder="1" applyAlignment="1">
      <alignment horizontal="right" vertical="center" wrapText="1" indent="1"/>
    </xf>
    <xf numFmtId="165" fontId="9" fillId="5" borderId="136" xfId="0" applyNumberFormat="1" applyFont="1" applyFill="1" applyBorder="1" applyAlignment="1">
      <alignment horizontal="right" vertical="center" wrapText="1" indent="1"/>
    </xf>
    <xf numFmtId="165" fontId="10" fillId="5" borderId="21" xfId="0" applyNumberFormat="1" applyFont="1" applyFill="1" applyBorder="1" applyAlignment="1">
      <alignment horizontal="right" vertical="center" wrapText="1" indent="1"/>
    </xf>
    <xf numFmtId="0" fontId="9" fillId="5" borderId="115" xfId="0" applyFont="1" applyFill="1" applyBorder="1" applyAlignment="1">
      <alignment vertical="center" wrapText="1"/>
    </xf>
    <xf numFmtId="164" fontId="9" fillId="5" borderId="114" xfId="0" applyNumberFormat="1" applyFont="1" applyFill="1" applyBorder="1" applyAlignment="1">
      <alignment horizontal="right" vertical="center" wrapText="1" indent="1"/>
    </xf>
    <xf numFmtId="164" fontId="9" fillId="5" borderId="115" xfId="0" applyNumberFormat="1" applyFont="1" applyFill="1" applyBorder="1" applyAlignment="1">
      <alignment horizontal="right" vertical="center" wrapText="1" indent="1"/>
    </xf>
    <xf numFmtId="164" fontId="9" fillId="5" borderId="139" xfId="0" applyNumberFormat="1" applyFont="1" applyFill="1" applyBorder="1" applyAlignment="1">
      <alignment horizontal="right" vertical="center" wrapText="1" indent="1"/>
    </xf>
    <xf numFmtId="165" fontId="9" fillId="5" borderId="115" xfId="0" applyNumberFormat="1" applyFont="1" applyFill="1" applyBorder="1" applyAlignment="1">
      <alignment horizontal="right" vertical="center" wrapText="1" indent="1"/>
    </xf>
    <xf numFmtId="164" fontId="10" fillId="5" borderId="63" xfId="0" applyNumberFormat="1" applyFont="1" applyFill="1" applyBorder="1" applyAlignment="1">
      <alignment horizontal="right" vertical="center" wrapText="1" indent="1"/>
    </xf>
    <xf numFmtId="164" fontId="10" fillId="5" borderId="14" xfId="0" applyNumberFormat="1" applyFont="1" applyFill="1" applyBorder="1" applyAlignment="1">
      <alignment horizontal="right" vertical="center" wrapText="1" indent="1"/>
    </xf>
    <xf numFmtId="164" fontId="10" fillId="5" borderId="13" xfId="0" applyNumberFormat="1" applyFont="1" applyFill="1" applyBorder="1" applyAlignment="1">
      <alignment horizontal="right" vertical="center" wrapText="1" indent="1"/>
    </xf>
    <xf numFmtId="165" fontId="10" fillId="5" borderId="14" xfId="0" applyNumberFormat="1" applyFont="1" applyFill="1" applyBorder="1" applyAlignment="1">
      <alignment horizontal="right" vertical="center" wrapText="1" indent="1"/>
    </xf>
    <xf numFmtId="0" fontId="17" fillId="5" borderId="0" xfId="0" applyFont="1" applyFill="1" applyAlignment="1">
      <alignment vertical="center" wrapText="1"/>
    </xf>
    <xf numFmtId="164" fontId="14" fillId="5" borderId="40" xfId="0" applyNumberFormat="1" applyFont="1" applyFill="1" applyBorder="1" applyAlignment="1">
      <alignment horizontal="right" vertical="center" wrapText="1"/>
    </xf>
    <xf numFmtId="3" fontId="14" fillId="3" borderId="0" xfId="0" applyNumberFormat="1" applyFont="1" applyFill="1" applyAlignment="1">
      <alignment horizontal="right" vertical="center" wrapText="1"/>
    </xf>
    <xf numFmtId="164" fontId="14" fillId="5" borderId="0" xfId="0" applyNumberFormat="1" applyFont="1" applyFill="1" applyAlignment="1">
      <alignment horizontal="right" vertical="center" wrapText="1"/>
    </xf>
    <xf numFmtId="3" fontId="14" fillId="5" borderId="0" xfId="0" applyNumberFormat="1" applyFont="1" applyFill="1" applyAlignment="1">
      <alignment horizontal="right" vertical="center" wrapText="1"/>
    </xf>
    <xf numFmtId="3" fontId="14" fillId="3" borderId="41" xfId="0" applyNumberFormat="1" applyFont="1" applyFill="1" applyBorder="1" applyAlignment="1">
      <alignment horizontal="right" vertical="center" wrapText="1"/>
    </xf>
    <xf numFmtId="164" fontId="18" fillId="5" borderId="40" xfId="0" applyNumberFormat="1" applyFont="1" applyFill="1" applyBorder="1" applyAlignment="1">
      <alignment horizontal="right" vertical="center" wrapText="1" indent="1"/>
    </xf>
    <xf numFmtId="164" fontId="14" fillId="3" borderId="0" xfId="0" applyNumberFormat="1" applyFont="1" applyFill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164" fontId="14" fillId="3" borderId="41" xfId="0" applyNumberFormat="1" applyFont="1" applyFill="1" applyBorder="1" applyAlignment="1">
      <alignment horizontal="right" vertical="center" wrapText="1" indent="1"/>
    </xf>
    <xf numFmtId="3" fontId="14" fillId="5" borderId="0" xfId="0" applyNumberFormat="1" applyFont="1" applyFill="1" applyAlignment="1">
      <alignment horizontal="right" vertical="center" wrapText="1" indent="1"/>
    </xf>
    <xf numFmtId="164" fontId="14" fillId="5" borderId="40" xfId="0" applyNumberFormat="1" applyFont="1" applyFill="1" applyBorder="1" applyAlignment="1">
      <alignment horizontal="right" vertical="center" wrapText="1" indent="1"/>
    </xf>
    <xf numFmtId="164" fontId="14" fillId="5" borderId="0" xfId="2" applyNumberFormat="1" applyFont="1" applyFill="1" applyBorder="1" applyAlignment="1">
      <alignment horizontal="right" vertical="center" wrapText="1" indent="1"/>
    </xf>
    <xf numFmtId="0" fontId="17" fillId="5" borderId="42" xfId="0" applyFont="1" applyFill="1" applyBorder="1" applyAlignment="1">
      <alignment vertical="center" wrapText="1"/>
    </xf>
    <xf numFmtId="164" fontId="17" fillId="5" borderId="43" xfId="0" applyNumberFormat="1" applyFont="1" applyFill="1" applyBorder="1" applyAlignment="1">
      <alignment horizontal="right" vertical="center" wrapText="1" indent="1"/>
    </xf>
    <xf numFmtId="164" fontId="17" fillId="3" borderId="42" xfId="0" applyNumberFormat="1" applyFont="1" applyFill="1" applyBorder="1" applyAlignment="1">
      <alignment horizontal="right" vertical="center" wrapText="1" indent="1"/>
    </xf>
    <xf numFmtId="164" fontId="17" fillId="5" borderId="42" xfId="0" applyNumberFormat="1" applyFont="1" applyFill="1" applyBorder="1" applyAlignment="1">
      <alignment horizontal="right" vertical="center" wrapText="1" indent="1"/>
    </xf>
    <xf numFmtId="164" fontId="17" fillId="3" borderId="44" xfId="0" applyNumberFormat="1" applyFont="1" applyFill="1" applyBorder="1" applyAlignment="1">
      <alignment horizontal="right" vertical="center" wrapText="1" indent="1"/>
    </xf>
    <xf numFmtId="3" fontId="17" fillId="5" borderId="42" xfId="0" applyNumberFormat="1" applyFont="1" applyFill="1" applyBorder="1" applyAlignment="1">
      <alignment horizontal="right" vertical="center" wrapText="1" indent="1"/>
    </xf>
    <xf numFmtId="164" fontId="17" fillId="5" borderId="40" xfId="0" applyNumberFormat="1" applyFont="1" applyFill="1" applyBorder="1" applyAlignment="1">
      <alignment horizontal="right" vertical="center" wrapText="1" indent="1"/>
    </xf>
    <xf numFmtId="164" fontId="17" fillId="5" borderId="0" xfId="0" applyNumberFormat="1" applyFont="1" applyFill="1" applyAlignment="1">
      <alignment horizontal="right" vertical="center" wrapText="1" indent="1"/>
    </xf>
    <xf numFmtId="0" fontId="17" fillId="5" borderId="45" xfId="0" applyFont="1" applyFill="1" applyBorder="1" applyAlignment="1">
      <alignment vertical="center" wrapText="1"/>
    </xf>
    <xf numFmtId="164" fontId="17" fillId="5" borderId="46" xfId="2" applyNumberFormat="1" applyFont="1" applyFill="1" applyBorder="1" applyAlignment="1">
      <alignment horizontal="right" vertical="center" wrapText="1" indent="1"/>
    </xf>
    <xf numFmtId="3" fontId="17" fillId="3" borderId="45" xfId="2" applyNumberFormat="1" applyFont="1" applyFill="1" applyBorder="1" applyAlignment="1">
      <alignment horizontal="right" vertical="center" wrapText="1" indent="1"/>
    </xf>
    <xf numFmtId="164" fontId="17" fillId="5" borderId="45" xfId="2" applyNumberFormat="1" applyFont="1" applyFill="1" applyBorder="1" applyAlignment="1">
      <alignment horizontal="right" vertical="center" wrapText="1" indent="1"/>
    </xf>
    <xf numFmtId="3" fontId="17" fillId="3" borderId="47" xfId="2" applyNumberFormat="1" applyFont="1" applyFill="1" applyBorder="1" applyAlignment="1">
      <alignment horizontal="right" vertical="center" wrapText="1" indent="1"/>
    </xf>
    <xf numFmtId="1" fontId="17" fillId="5" borderId="45" xfId="0" applyNumberFormat="1" applyFont="1" applyFill="1" applyBorder="1" applyAlignment="1">
      <alignment horizontal="right" vertical="center" wrapText="1" indent="1"/>
    </xf>
    <xf numFmtId="165" fontId="9" fillId="3" borderId="4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164" fontId="74" fillId="5" borderId="56" xfId="0" applyNumberFormat="1" applyFont="1" applyFill="1" applyBorder="1" applyAlignment="1">
      <alignment horizontal="right" vertical="center" wrapText="1"/>
    </xf>
    <xf numFmtId="3" fontId="74" fillId="5" borderId="0" xfId="0" applyNumberFormat="1" applyFont="1" applyFill="1" applyAlignment="1">
      <alignment horizontal="right" vertical="center" wrapText="1"/>
    </xf>
    <xf numFmtId="164" fontId="74" fillId="5" borderId="0" xfId="0" applyNumberFormat="1" applyFont="1" applyFill="1" applyAlignment="1">
      <alignment horizontal="right" vertical="center" wrapText="1"/>
    </xf>
    <xf numFmtId="164" fontId="75" fillId="5" borderId="56" xfId="0" applyNumberFormat="1" applyFont="1" applyFill="1" applyBorder="1" applyAlignment="1">
      <alignment horizontal="right" vertical="center" wrapText="1"/>
    </xf>
    <xf numFmtId="164" fontId="75" fillId="5" borderId="0" xfId="0" applyNumberFormat="1" applyFont="1" applyFill="1" applyAlignment="1">
      <alignment horizontal="right" vertical="center" wrapText="1"/>
    </xf>
    <xf numFmtId="164" fontId="76" fillId="5" borderId="67" xfId="0" applyNumberFormat="1" applyFont="1" applyFill="1" applyBorder="1" applyAlignment="1">
      <alignment horizontal="right" vertical="center" wrapText="1"/>
    </xf>
    <xf numFmtId="164" fontId="76" fillId="5" borderId="66" xfId="0" applyNumberFormat="1" applyFont="1" applyFill="1" applyBorder="1" applyAlignment="1">
      <alignment horizontal="right" vertical="center" wrapText="1"/>
    </xf>
    <xf numFmtId="3" fontId="76" fillId="5" borderId="66" xfId="0" applyNumberFormat="1" applyFont="1" applyFill="1" applyBorder="1" applyAlignment="1">
      <alignment horizontal="right" vertical="center" wrapText="1"/>
    </xf>
    <xf numFmtId="164" fontId="76" fillId="5" borderId="56" xfId="0" applyNumberFormat="1" applyFont="1" applyFill="1" applyBorder="1" applyAlignment="1">
      <alignment horizontal="right" vertical="center" wrapText="1"/>
    </xf>
    <xf numFmtId="164" fontId="76" fillId="5" borderId="0" xfId="0" applyNumberFormat="1" applyFont="1" applyFill="1" applyAlignment="1">
      <alignment horizontal="right" vertical="center" wrapText="1"/>
    </xf>
    <xf numFmtId="164" fontId="77" fillId="3" borderId="8" xfId="7" applyNumberFormat="1" applyFont="1" applyFill="1" applyBorder="1" applyAlignment="1">
      <alignment horizontal="right" vertical="center" wrapText="1" indent="1"/>
    </xf>
    <xf numFmtId="164" fontId="77" fillId="5" borderId="0" xfId="7" applyNumberFormat="1" applyFont="1" applyFill="1" applyAlignment="1">
      <alignment horizontal="right" vertical="center" wrapText="1" indent="1"/>
    </xf>
    <xf numFmtId="49" fontId="10" fillId="0" borderId="27" xfId="0" applyNumberFormat="1" applyFont="1" applyBorder="1" applyAlignment="1">
      <alignment horizontal="right" vertical="center" wrapText="1" indent="1"/>
    </xf>
    <xf numFmtId="0" fontId="69" fillId="0" borderId="140" xfId="0" applyFont="1" applyBorder="1" applyAlignment="1">
      <alignment vertical="center" wrapText="1"/>
    </xf>
    <xf numFmtId="0" fontId="68" fillId="0" borderId="141" xfId="0" applyFont="1" applyBorder="1" applyAlignment="1">
      <alignment vertical="center"/>
    </xf>
    <xf numFmtId="164" fontId="77" fillId="5" borderId="91" xfId="7" applyNumberFormat="1" applyFont="1" applyFill="1" applyBorder="1" applyAlignment="1">
      <alignment horizontal="right" vertical="center" wrapText="1" indent="1"/>
    </xf>
    <xf numFmtId="164" fontId="77" fillId="5" borderId="85" xfId="7" applyNumberFormat="1" applyFont="1" applyFill="1" applyBorder="1" applyAlignment="1">
      <alignment horizontal="right" vertical="center" wrapText="1" indent="1"/>
    </xf>
    <xf numFmtId="164" fontId="77" fillId="3" borderId="85" xfId="7" applyNumberFormat="1" applyFont="1" applyFill="1" applyBorder="1" applyAlignment="1">
      <alignment horizontal="right" vertical="center" wrapText="1" indent="1"/>
    </xf>
    <xf numFmtId="164" fontId="77" fillId="3" borderId="78" xfId="7" applyNumberFormat="1" applyFont="1" applyFill="1" applyBorder="1" applyAlignment="1">
      <alignment horizontal="right" vertical="center" wrapText="1" indent="1"/>
    </xf>
    <xf numFmtId="164" fontId="7" fillId="5" borderId="40" xfId="7" applyNumberFormat="1" applyFont="1" applyFill="1" applyBorder="1" applyAlignment="1">
      <alignment horizontal="right" vertical="center" wrapText="1" indent="1"/>
    </xf>
    <xf numFmtId="164" fontId="7" fillId="3" borderId="41" xfId="7" applyNumberFormat="1" applyFont="1" applyFill="1" applyBorder="1" applyAlignment="1">
      <alignment horizontal="right" vertical="center" wrapText="1" indent="1"/>
    </xf>
    <xf numFmtId="164" fontId="18" fillId="5" borderId="96" xfId="7" applyNumberFormat="1" applyFont="1" applyFill="1" applyBorder="1" applyAlignment="1">
      <alignment horizontal="right" vertical="center" wrapText="1" indent="1"/>
    </xf>
    <xf numFmtId="164" fontId="18" fillId="3" borderId="97" xfId="7" applyNumberFormat="1" applyFont="1" applyFill="1" applyBorder="1" applyAlignment="1">
      <alignment horizontal="right" vertical="center" wrapText="1" indent="1"/>
    </xf>
    <xf numFmtId="164" fontId="77" fillId="5" borderId="43" xfId="7" applyNumberFormat="1" applyFont="1" applyFill="1" applyBorder="1" applyAlignment="1">
      <alignment horizontal="right" vertical="center" wrapText="1" indent="1"/>
    </xf>
    <xf numFmtId="164" fontId="77" fillId="5" borderId="42" xfId="7" applyNumberFormat="1" applyFont="1" applyFill="1" applyBorder="1" applyAlignment="1">
      <alignment horizontal="right" vertical="center" wrapText="1" indent="1"/>
    </xf>
    <xf numFmtId="164" fontId="77" fillId="3" borderId="44" xfId="7" applyNumberFormat="1" applyFont="1" applyFill="1" applyBorder="1" applyAlignment="1">
      <alignment horizontal="right" vertical="center" wrapText="1" indent="1"/>
    </xf>
    <xf numFmtId="164" fontId="77" fillId="3" borderId="42" xfId="7" applyNumberFormat="1" applyFont="1" applyFill="1" applyBorder="1" applyAlignment="1">
      <alignment horizontal="right" vertical="center" wrapText="1" indent="1"/>
    </xf>
    <xf numFmtId="164" fontId="77" fillId="5" borderId="84" xfId="7" applyNumberFormat="1" applyFont="1" applyFill="1" applyBorder="1" applyAlignment="1">
      <alignment horizontal="right" vertical="center" wrapText="1" indent="1"/>
    </xf>
    <xf numFmtId="164" fontId="7" fillId="5" borderId="86" xfId="7" applyNumberFormat="1" applyFont="1" applyFill="1" applyBorder="1" applyAlignment="1">
      <alignment horizontal="right" vertical="center" wrapText="1" indent="1"/>
    </xf>
    <xf numFmtId="164" fontId="64" fillId="5" borderId="40" xfId="7" applyNumberFormat="1" applyFont="1" applyFill="1" applyBorder="1" applyAlignment="1">
      <alignment horizontal="right" vertical="center" wrapText="1" indent="1"/>
    </xf>
    <xf numFmtId="164" fontId="64" fillId="5" borderId="0" xfId="7" applyNumberFormat="1" applyFont="1" applyFill="1" applyAlignment="1">
      <alignment horizontal="right" vertical="center" wrapText="1" indent="1"/>
    </xf>
    <xf numFmtId="164" fontId="64" fillId="3" borderId="41" xfId="7" applyNumberFormat="1" applyFont="1" applyFill="1" applyBorder="1" applyAlignment="1">
      <alignment horizontal="right" vertical="center" wrapText="1" indent="1"/>
    </xf>
    <xf numFmtId="164" fontId="64" fillId="5" borderId="86" xfId="7" applyNumberFormat="1" applyFont="1" applyFill="1" applyBorder="1" applyAlignment="1">
      <alignment horizontal="right" vertical="center" wrapText="1" indent="1"/>
    </xf>
    <xf numFmtId="164" fontId="7" fillId="5" borderId="92" xfId="7" applyNumberFormat="1" applyFont="1" applyFill="1" applyBorder="1" applyAlignment="1">
      <alignment horizontal="right" vertical="center" wrapText="1" indent="1"/>
    </xf>
    <xf numFmtId="164" fontId="7" fillId="3" borderId="93" xfId="7" applyNumberFormat="1" applyFont="1" applyFill="1" applyBorder="1" applyAlignment="1">
      <alignment horizontal="right" vertical="center" wrapText="1" indent="1"/>
    </xf>
    <xf numFmtId="164" fontId="7" fillId="5" borderId="87" xfId="7" applyNumberFormat="1" applyFont="1" applyFill="1" applyBorder="1" applyAlignment="1">
      <alignment horizontal="right" vertical="center" wrapText="1" indent="1"/>
    </xf>
    <xf numFmtId="164" fontId="77" fillId="5" borderId="94" xfId="7" applyNumberFormat="1" applyFont="1" applyFill="1" applyBorder="1" applyAlignment="1">
      <alignment horizontal="right" vertical="center" wrapText="1"/>
    </xf>
    <xf numFmtId="164" fontId="77" fillId="5" borderId="8" xfId="7" applyNumberFormat="1" applyFont="1" applyFill="1" applyBorder="1" applyAlignment="1">
      <alignment horizontal="right" vertical="center" wrapText="1"/>
    </xf>
    <xf numFmtId="164" fontId="77" fillId="3" borderId="95" xfId="7" applyNumberFormat="1" applyFont="1" applyFill="1" applyBorder="1" applyAlignment="1">
      <alignment horizontal="right" vertical="center" wrapText="1" indent="1"/>
    </xf>
    <xf numFmtId="164" fontId="77" fillId="5" borderId="72" xfId="7" applyNumberFormat="1" applyFont="1" applyFill="1" applyBorder="1" applyAlignment="1">
      <alignment horizontal="right" vertical="center" wrapText="1"/>
    </xf>
    <xf numFmtId="164" fontId="7" fillId="5" borderId="40" xfId="7" applyNumberFormat="1" applyFont="1" applyFill="1" applyBorder="1" applyAlignment="1">
      <alignment horizontal="right" vertical="center" wrapText="1"/>
    </xf>
    <xf numFmtId="164" fontId="7" fillId="5" borderId="0" xfId="7" applyNumberFormat="1" applyFont="1" applyFill="1" applyAlignment="1">
      <alignment horizontal="right" vertical="center" wrapText="1"/>
    </xf>
    <xf numFmtId="164" fontId="7" fillId="5" borderId="73" xfId="7" applyNumberFormat="1" applyFont="1" applyFill="1" applyBorder="1" applyAlignment="1">
      <alignment horizontal="right" vertical="center" wrapText="1"/>
    </xf>
    <xf numFmtId="164" fontId="45" fillId="5" borderId="40" xfId="7" applyNumberFormat="1" applyFont="1" applyFill="1" applyBorder="1" applyAlignment="1">
      <alignment horizontal="right" vertical="center" wrapText="1"/>
    </xf>
    <xf numFmtId="164" fontId="45" fillId="5" borderId="0" xfId="7" applyNumberFormat="1" applyFont="1" applyFill="1" applyAlignment="1">
      <alignment horizontal="right" vertical="center" wrapText="1"/>
    </xf>
    <xf numFmtId="164" fontId="45" fillId="5" borderId="73" xfId="7" applyNumberFormat="1" applyFont="1" applyFill="1" applyBorder="1" applyAlignment="1">
      <alignment horizontal="right" vertical="center" wrapText="1"/>
    </xf>
    <xf numFmtId="164" fontId="18" fillId="5" borderId="96" xfId="7" applyNumberFormat="1" applyFont="1" applyFill="1" applyBorder="1" applyAlignment="1">
      <alignment horizontal="right" vertical="center" wrapText="1"/>
    </xf>
    <xf numFmtId="164" fontId="18" fillId="5" borderId="88" xfId="7" applyNumberFormat="1" applyFont="1" applyFill="1" applyBorder="1" applyAlignment="1">
      <alignment horizontal="right" vertical="center" wrapText="1"/>
    </xf>
    <xf numFmtId="164" fontId="18" fillId="5" borderId="89" xfId="7" applyNumberFormat="1" applyFont="1" applyFill="1" applyBorder="1" applyAlignment="1">
      <alignment horizontal="right" vertical="center" wrapText="1"/>
    </xf>
    <xf numFmtId="4" fontId="2" fillId="5" borderId="20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2" xfId="3" applyNumberFormat="1" applyFont="1" applyFill="1" applyBorder="1" applyAlignment="1">
      <alignment horizontal="right" vertical="center" wrapText="1" indent="1"/>
    </xf>
    <xf numFmtId="4" fontId="2" fillId="5" borderId="19" xfId="3" applyNumberFormat="1" applyFont="1" applyFill="1" applyBorder="1" applyAlignment="1">
      <alignment horizontal="right" vertical="center" wrapText="1" indent="1"/>
    </xf>
    <xf numFmtId="4" fontId="2" fillId="5" borderId="11" xfId="3" applyNumberFormat="1" applyFont="1" applyFill="1" applyBorder="1" applyAlignment="1">
      <alignment horizontal="right" vertical="center" wrapText="1" indent="1"/>
    </xf>
    <xf numFmtId="4" fontId="2" fillId="5" borderId="10" xfId="3" applyNumberFormat="1" applyFont="1" applyFill="1" applyBorder="1" applyAlignment="1">
      <alignment horizontal="right" vertical="center" wrapText="1" indent="1"/>
    </xf>
    <xf numFmtId="4" fontId="22" fillId="5" borderId="20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2" xfId="3" applyNumberFormat="1" applyFont="1" applyFill="1" applyBorder="1" applyAlignment="1">
      <alignment horizontal="right" vertical="center" wrapText="1" indent="1"/>
    </xf>
    <xf numFmtId="4" fontId="22" fillId="5" borderId="22" xfId="3" applyNumberFormat="1" applyFont="1" applyFill="1" applyBorder="1" applyAlignment="1">
      <alignment horizontal="right" vertical="center" wrapText="1" indent="1"/>
    </xf>
    <xf numFmtId="4" fontId="22" fillId="5" borderId="21" xfId="3" applyNumberFormat="1" applyFont="1" applyFill="1" applyBorder="1" applyAlignment="1">
      <alignment horizontal="right" vertical="center" wrapText="1" indent="1"/>
    </xf>
    <xf numFmtId="4" fontId="22" fillId="5" borderId="23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2" xfId="3" applyNumberFormat="1" applyFont="1" applyFill="1" applyBorder="1" applyAlignment="1">
      <alignment horizontal="right" vertical="center" wrapText="1" indent="1"/>
    </xf>
    <xf numFmtId="4" fontId="21" fillId="5" borderId="22" xfId="3" applyNumberFormat="1" applyFont="1" applyFill="1" applyBorder="1" applyAlignment="1">
      <alignment horizontal="right" vertical="center" wrapText="1" indent="1"/>
    </xf>
    <xf numFmtId="4" fontId="21" fillId="5" borderId="21" xfId="3" applyNumberFormat="1" applyFont="1" applyFill="1" applyBorder="1" applyAlignment="1">
      <alignment horizontal="right" vertical="center" wrapText="1" indent="1"/>
    </xf>
    <xf numFmtId="4" fontId="21" fillId="5" borderId="23" xfId="3" applyNumberFormat="1" applyFont="1" applyFill="1" applyBorder="1" applyAlignment="1">
      <alignment horizontal="right" vertical="center" wrapText="1" indent="1"/>
    </xf>
    <xf numFmtId="4" fontId="21" fillId="5" borderId="20" xfId="3" applyNumberFormat="1" applyFont="1" applyFill="1" applyBorder="1" applyAlignment="1">
      <alignment horizontal="right" vertical="center" wrapText="1" indent="1"/>
    </xf>
    <xf numFmtId="4" fontId="21" fillId="5" borderId="0" xfId="3" applyNumberFormat="1" applyFont="1" applyFill="1" applyAlignment="1">
      <alignment horizontal="right" vertical="center" wrapText="1" indent="1"/>
    </xf>
    <xf numFmtId="4" fontId="21" fillId="5" borderId="12" xfId="3" applyNumberFormat="1" applyFont="1" applyFill="1" applyBorder="1" applyAlignment="1">
      <alignment horizontal="right" vertical="center" wrapText="1" indent="1"/>
    </xf>
    <xf numFmtId="4" fontId="5" fillId="5" borderId="19" xfId="3" applyNumberFormat="1" applyFont="1" applyFill="1" applyBorder="1" applyAlignment="1">
      <alignment horizontal="right" vertical="center" wrapText="1" indent="1"/>
    </xf>
    <xf numFmtId="4" fontId="5" fillId="5" borderId="11" xfId="3" applyNumberFormat="1" applyFont="1" applyFill="1" applyBorder="1" applyAlignment="1">
      <alignment horizontal="right" vertical="center" wrapText="1" indent="1"/>
    </xf>
    <xf numFmtId="4" fontId="5" fillId="5" borderId="10" xfId="3" applyNumberFormat="1" applyFont="1" applyFill="1" applyBorder="1" applyAlignment="1">
      <alignment horizontal="right" vertical="center" wrapText="1" indent="1"/>
    </xf>
    <xf numFmtId="4" fontId="5" fillId="5" borderId="33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9" fontId="22" fillId="0" borderId="0" xfId="0" applyNumberFormat="1" applyFont="1" applyAlignment="1">
      <alignment horizontal="right" vertical="center"/>
    </xf>
    <xf numFmtId="164" fontId="7" fillId="3" borderId="0" xfId="7" applyNumberFormat="1" applyFont="1" applyFill="1" applyAlignment="1">
      <alignment horizontal="right" vertical="center" wrapText="1" indent="1"/>
    </xf>
    <xf numFmtId="164" fontId="64" fillId="3" borderId="0" xfId="7" applyNumberFormat="1" applyFont="1" applyFill="1" applyAlignment="1">
      <alignment horizontal="right" vertical="center" wrapText="1" indent="1"/>
    </xf>
    <xf numFmtId="164" fontId="7" fillId="3" borderId="88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Alignment="1">
      <alignment horizontal="right" vertical="center" wrapText="1" indent="1"/>
    </xf>
    <xf numFmtId="164" fontId="77" fillId="3" borderId="41" xfId="7" applyNumberFormat="1" applyFont="1" applyFill="1" applyBorder="1" applyAlignment="1">
      <alignment horizontal="right" vertical="center" wrapText="1" indent="1"/>
    </xf>
    <xf numFmtId="2" fontId="7" fillId="3" borderId="41" xfId="7" applyNumberFormat="1" applyFont="1" applyFill="1" applyBorder="1" applyAlignment="1">
      <alignment horizontal="right" vertical="center" wrapText="1" indent="1"/>
    </xf>
    <xf numFmtId="164" fontId="77" fillId="5" borderId="40" xfId="7" applyNumberFormat="1" applyFont="1" applyFill="1" applyBorder="1" applyAlignment="1">
      <alignment horizontal="right" vertical="center" wrapText="1" indent="1"/>
    </xf>
    <xf numFmtId="14" fontId="18" fillId="5" borderId="142" xfId="7" applyNumberFormat="1" applyFont="1" applyFill="1" applyBorder="1" applyAlignment="1">
      <alignment horizontal="center" vertical="center" wrapText="1"/>
    </xf>
    <xf numFmtId="0" fontId="18" fillId="5" borderId="143" xfId="7" applyFont="1" applyFill="1" applyBorder="1" applyAlignment="1">
      <alignment horizontal="center" vertical="center" wrapText="1"/>
    </xf>
    <xf numFmtId="0" fontId="18" fillId="5" borderId="144" xfId="7" applyFont="1" applyFill="1" applyBorder="1" applyAlignment="1">
      <alignment horizontal="center" vertical="center" wrapText="1"/>
    </xf>
    <xf numFmtId="14" fontId="18" fillId="5" borderId="143" xfId="7" applyNumberFormat="1" applyFont="1" applyFill="1" applyBorder="1" applyAlignment="1">
      <alignment horizontal="center" vertical="center" wrapText="1"/>
    </xf>
    <xf numFmtId="164" fontId="77" fillId="5" borderId="28" xfId="7" applyNumberFormat="1" applyFont="1" applyFill="1" applyBorder="1" applyAlignment="1">
      <alignment horizontal="right" vertical="center" wrapText="1" indent="1"/>
    </xf>
    <xf numFmtId="164" fontId="77" fillId="3" borderId="145" xfId="7" applyNumberFormat="1" applyFont="1" applyFill="1" applyBorder="1" applyAlignment="1">
      <alignment horizontal="right" vertical="center" wrapText="1" indent="1"/>
    </xf>
    <xf numFmtId="164" fontId="77" fillId="5" borderId="146" xfId="7" applyNumberFormat="1" applyFont="1" applyFill="1" applyBorder="1" applyAlignment="1">
      <alignment horizontal="right" vertical="center" wrapText="1" indent="1"/>
    </xf>
    <xf numFmtId="2" fontId="77" fillId="3" borderId="145" xfId="7" applyNumberFormat="1" applyFont="1" applyFill="1" applyBorder="1" applyAlignment="1">
      <alignment horizontal="right" vertical="center" wrapText="1" indent="1"/>
    </xf>
    <xf numFmtId="2" fontId="77" fillId="3" borderId="28" xfId="7" applyNumberFormat="1" applyFont="1" applyFill="1" applyBorder="1" applyAlignment="1">
      <alignment horizontal="right" vertical="center" wrapText="1" indent="1"/>
    </xf>
    <xf numFmtId="164" fontId="7" fillId="5" borderId="27" xfId="7" applyNumberFormat="1" applyFont="1" applyFill="1" applyBorder="1" applyAlignment="1">
      <alignment horizontal="right" vertical="center" wrapText="1" indent="1"/>
    </xf>
    <xf numFmtId="164" fontId="7" fillId="3" borderId="147" xfId="7" applyNumberFormat="1" applyFont="1" applyFill="1" applyBorder="1" applyAlignment="1">
      <alignment horizontal="right" vertical="center" wrapText="1" indent="1"/>
    </xf>
    <xf numFmtId="164" fontId="7" fillId="5" borderId="148" xfId="7" applyNumberFormat="1" applyFont="1" applyFill="1" applyBorder="1" applyAlignment="1">
      <alignment horizontal="right" vertical="center" wrapText="1" indent="1"/>
    </xf>
    <xf numFmtId="2" fontId="7" fillId="3" borderId="147" xfId="7" applyNumberFormat="1" applyFont="1" applyFill="1" applyBorder="1" applyAlignment="1">
      <alignment horizontal="right" vertical="center" wrapText="1" indent="1"/>
    </xf>
    <xf numFmtId="2" fontId="7" fillId="3" borderId="27" xfId="7" applyNumberFormat="1" applyFont="1" applyFill="1" applyBorder="1" applyAlignment="1">
      <alignment horizontal="right" vertical="center" wrapText="1" indent="1"/>
    </xf>
    <xf numFmtId="164" fontId="77" fillId="3" borderId="0" xfId="7" applyNumberFormat="1" applyFont="1" applyFill="1" applyAlignment="1">
      <alignment horizontal="right" vertical="center" wrapText="1" indent="1"/>
    </xf>
    <xf numFmtId="164" fontId="77" fillId="3" borderId="28" xfId="7" applyNumberFormat="1" applyFont="1" applyFill="1" applyBorder="1" applyAlignment="1">
      <alignment horizontal="right" vertical="center" wrapText="1" indent="1"/>
    </xf>
    <xf numFmtId="164" fontId="7" fillId="3" borderId="27" xfId="7" applyNumberFormat="1" applyFont="1" applyFill="1" applyBorder="1" applyAlignment="1">
      <alignment horizontal="right" vertical="center" wrapText="1" indent="1"/>
    </xf>
    <xf numFmtId="3" fontId="17" fillId="5" borderId="21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Alignment="1">
      <alignment horizontal="right" vertical="center" wrapText="1" indent="1"/>
    </xf>
    <xf numFmtId="14" fontId="14" fillId="5" borderId="0" xfId="0" applyNumberFormat="1" applyFont="1" applyFill="1" applyAlignment="1">
      <alignment horizontal="center" vertical="center" wrapText="1"/>
    </xf>
    <xf numFmtId="3" fontId="14" fillId="5" borderId="20" xfId="0" applyNumberFormat="1" applyFont="1" applyFill="1" applyBorder="1" applyAlignment="1">
      <alignment horizontal="right" vertical="center" wrapText="1" indent="1"/>
    </xf>
    <xf numFmtId="164" fontId="14" fillId="5" borderId="12" xfId="0" applyNumberFormat="1" applyFont="1" applyFill="1" applyBorder="1" applyAlignment="1">
      <alignment horizontal="right" vertical="center" wrapText="1" indent="1"/>
    </xf>
    <xf numFmtId="0" fontId="17" fillId="5" borderId="21" xfId="0" applyFont="1" applyFill="1" applyBorder="1" applyAlignment="1">
      <alignment horizontal="right" vertical="center" wrapText="1" indent="1"/>
    </xf>
    <xf numFmtId="3" fontId="17" fillId="5" borderId="22" xfId="0" applyNumberFormat="1" applyFont="1" applyFill="1" applyBorder="1" applyAlignment="1">
      <alignment horizontal="right" vertical="center" wrapText="1" indent="1"/>
    </xf>
    <xf numFmtId="164" fontId="17" fillId="5" borderId="23" xfId="0" applyNumberFormat="1" applyFont="1" applyFill="1" applyBorder="1" applyAlignment="1">
      <alignment horizontal="right" vertical="center" wrapText="1" indent="1"/>
    </xf>
    <xf numFmtId="3" fontId="16" fillId="5" borderId="131" xfId="0" applyNumberFormat="1" applyFont="1" applyFill="1" applyBorder="1" applyAlignment="1">
      <alignment horizontal="right" vertical="center" wrapText="1"/>
    </xf>
    <xf numFmtId="164" fontId="9" fillId="3" borderId="12" xfId="0" applyNumberFormat="1" applyFont="1" applyFill="1" applyBorder="1" applyAlignment="1">
      <alignment horizontal="right" vertical="center" wrapText="1" indent="1"/>
    </xf>
    <xf numFmtId="3" fontId="10" fillId="3" borderId="23" xfId="0" applyNumberFormat="1" applyFont="1" applyFill="1" applyBorder="1" applyAlignment="1">
      <alignment horizontal="right" vertical="center" wrapText="1" indent="1"/>
    </xf>
    <xf numFmtId="3" fontId="74" fillId="3" borderId="0" xfId="0" applyNumberFormat="1" applyFont="1" applyFill="1" applyAlignment="1">
      <alignment horizontal="right" vertical="center" wrapText="1"/>
    </xf>
    <xf numFmtId="164" fontId="74" fillId="3" borderId="0" xfId="0" applyNumberFormat="1" applyFont="1" applyFill="1" applyAlignment="1">
      <alignment horizontal="right" vertical="center" wrapText="1"/>
    </xf>
    <xf numFmtId="164" fontId="76" fillId="3" borderId="66" xfId="0" applyNumberFormat="1" applyFont="1" applyFill="1" applyBorder="1" applyAlignment="1">
      <alignment horizontal="right" vertical="center" wrapText="1"/>
    </xf>
    <xf numFmtId="3" fontId="74" fillId="3" borderId="49" xfId="0" applyNumberFormat="1" applyFont="1" applyFill="1" applyBorder="1" applyAlignment="1">
      <alignment horizontal="right" vertical="center" wrapText="1"/>
    </xf>
    <xf numFmtId="164" fontId="74" fillId="3" borderId="49" xfId="0" applyNumberFormat="1" applyFont="1" applyFill="1" applyBorder="1" applyAlignment="1">
      <alignment horizontal="right" vertical="center" wrapText="1"/>
    </xf>
    <xf numFmtId="164" fontId="76" fillId="3" borderId="68" xfId="0" applyNumberFormat="1" applyFont="1" applyFill="1" applyBorder="1" applyAlignment="1">
      <alignment horizontal="right" vertical="center" wrapText="1"/>
    </xf>
    <xf numFmtId="164" fontId="76" fillId="5" borderId="65" xfId="2" applyNumberFormat="1" applyFont="1" applyFill="1" applyBorder="1" applyAlignment="1">
      <alignment vertical="center" wrapText="1"/>
    </xf>
    <xf numFmtId="164" fontId="76" fillId="5" borderId="57" xfId="2" applyNumberFormat="1" applyFont="1" applyFill="1" applyBorder="1" applyAlignment="1">
      <alignment vertical="center" wrapText="1"/>
    </xf>
    <xf numFmtId="1" fontId="76" fillId="5" borderId="57" xfId="0" applyNumberFormat="1" applyFont="1" applyFill="1" applyBorder="1" applyAlignment="1">
      <alignment horizontal="right" vertical="center" wrapText="1"/>
    </xf>
    <xf numFmtId="165" fontId="9" fillId="3" borderId="41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2" xfId="0" applyNumberFormat="1" applyFont="1" applyFill="1" applyBorder="1" applyAlignment="1">
      <alignment vertical="center" wrapText="1"/>
    </xf>
    <xf numFmtId="0" fontId="28" fillId="0" borderId="6" xfId="29" applyFont="1" applyBorder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5" borderId="149" xfId="0" applyNumberFormat="1" applyFont="1" applyFill="1" applyBorder="1" applyAlignment="1">
      <alignment horizontal="right" vertical="top" wrapText="1" indent="1"/>
    </xf>
    <xf numFmtId="49" fontId="2" fillId="0" borderId="153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/>
    </xf>
    <xf numFmtId="49" fontId="2" fillId="9" borderId="153" xfId="0" applyNumberFormat="1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right" vertical="center" wrapText="1" indent="1"/>
    </xf>
    <xf numFmtId="0" fontId="10" fillId="5" borderId="11" xfId="0" applyFont="1" applyFill="1" applyBorder="1" applyAlignment="1">
      <alignment horizontal="right" vertical="center" wrapText="1" indent="1"/>
    </xf>
    <xf numFmtId="49" fontId="2" fillId="0" borderId="152" xfId="0" applyNumberFormat="1" applyFont="1" applyBorder="1" applyAlignment="1">
      <alignment horizontal="center" vertical="center"/>
    </xf>
    <xf numFmtId="4" fontId="2" fillId="0" borderId="150" xfId="0" applyNumberFormat="1" applyFont="1" applyBorder="1" applyAlignment="1">
      <alignment horizontal="right" vertical="center"/>
    </xf>
    <xf numFmtId="4" fontId="2" fillId="0" borderId="151" xfId="0" applyNumberFormat="1" applyFont="1" applyBorder="1" applyAlignment="1">
      <alignment horizontal="right" vertical="center"/>
    </xf>
    <xf numFmtId="4" fontId="2" fillId="9" borderId="151" xfId="0" applyNumberFormat="1" applyFont="1" applyFill="1" applyBorder="1" applyAlignment="1">
      <alignment horizontal="right" vertical="center"/>
    </xf>
    <xf numFmtId="164" fontId="10" fillId="5" borderId="14" xfId="2" applyNumberFormat="1" applyFont="1" applyFill="1" applyBorder="1" applyAlignment="1">
      <alignment horizontal="right" vertical="center" wrapText="1" indent="1"/>
    </xf>
    <xf numFmtId="164" fontId="10" fillId="5" borderId="21" xfId="2" applyNumberFormat="1" applyFont="1" applyFill="1" applyBorder="1" applyAlignment="1">
      <alignment horizontal="right" vertical="center" wrapText="1" indent="1"/>
    </xf>
    <xf numFmtId="165" fontId="10" fillId="3" borderId="13" xfId="0" applyNumberFormat="1" applyFont="1" applyFill="1" applyBorder="1" applyAlignment="1">
      <alignment horizontal="right" vertical="center" wrapText="1" indent="1"/>
    </xf>
    <xf numFmtId="3" fontId="9" fillId="5" borderId="14" xfId="0" applyNumberFormat="1" applyFont="1" applyFill="1" applyBorder="1" applyAlignment="1">
      <alignment horizontal="right" vertical="center" wrapText="1" indent="1"/>
    </xf>
    <xf numFmtId="165" fontId="10" fillId="3" borderId="49" xfId="0" applyNumberFormat="1" applyFont="1" applyFill="1" applyBorder="1" applyAlignment="1">
      <alignment horizontal="right" vertical="center" wrapText="1"/>
    </xf>
    <xf numFmtId="0" fontId="33" fillId="2" borderId="0" xfId="0" applyFont="1" applyFill="1" applyAlignment="1">
      <alignment horizontal="left" vertical="center" wrapText="1"/>
    </xf>
    <xf numFmtId="0" fontId="9" fillId="5" borderId="41" xfId="0" applyFont="1" applyFill="1" applyBorder="1" applyAlignment="1">
      <alignment vertical="center" wrapText="1"/>
    </xf>
    <xf numFmtId="164" fontId="10" fillId="5" borderId="162" xfId="0" applyNumberFormat="1" applyFont="1" applyFill="1" applyBorder="1" applyAlignment="1">
      <alignment horizontal="right" vertical="center" wrapText="1" indent="1"/>
    </xf>
    <xf numFmtId="0" fontId="9" fillId="5" borderId="36" xfId="0" applyFont="1" applyFill="1" applyBorder="1" applyAlignment="1">
      <alignment horizontal="left" vertical="center" wrapText="1" indent="1"/>
    </xf>
    <xf numFmtId="3" fontId="10" fillId="5" borderId="161" xfId="0" applyNumberFormat="1" applyFont="1" applyFill="1" applyBorder="1" applyAlignment="1">
      <alignment horizontal="right" vertical="center" wrapText="1" indent="1"/>
    </xf>
    <xf numFmtId="0" fontId="10" fillId="5" borderId="161" xfId="0" applyFont="1" applyFill="1" applyBorder="1" applyAlignment="1">
      <alignment vertical="center" wrapText="1"/>
    </xf>
    <xf numFmtId="165" fontId="10" fillId="3" borderId="160" xfId="0" applyNumberFormat="1" applyFont="1" applyFill="1" applyBorder="1" applyAlignment="1">
      <alignment horizontal="right" vertical="center" wrapText="1" indent="1"/>
    </xf>
    <xf numFmtId="0" fontId="10" fillId="5" borderId="42" xfId="0" applyFont="1" applyFill="1" applyBorder="1" applyAlignment="1">
      <alignment vertical="center" wrapText="1"/>
    </xf>
    <xf numFmtId="164" fontId="10" fillId="5" borderId="46" xfId="0" applyNumberFormat="1" applyFont="1" applyFill="1" applyBorder="1" applyAlignment="1">
      <alignment horizontal="right" vertical="center" wrapText="1"/>
    </xf>
    <xf numFmtId="3" fontId="10" fillId="5" borderId="45" xfId="0" applyNumberFormat="1" applyFont="1" applyFill="1" applyBorder="1" applyAlignment="1">
      <alignment horizontal="right" vertical="center" wrapText="1"/>
    </xf>
    <xf numFmtId="0" fontId="52" fillId="7" borderId="0" xfId="0" applyFont="1" applyFill="1" applyAlignment="1">
      <alignment vertical="center" wrapText="1"/>
    </xf>
    <xf numFmtId="165" fontId="9" fillId="3" borderId="49" xfId="0" applyNumberFormat="1" applyFont="1" applyFill="1" applyBorder="1" applyAlignment="1">
      <alignment horizontal="right" vertical="center" wrapText="1" indent="1"/>
    </xf>
    <xf numFmtId="164" fontId="9" fillId="5" borderId="56" xfId="0" applyNumberFormat="1" applyFont="1" applyFill="1" applyBorder="1" applyAlignment="1">
      <alignment horizontal="right" vertical="center" wrapText="1" indent="1"/>
    </xf>
    <xf numFmtId="165" fontId="9" fillId="3" borderId="159" xfId="0" applyNumberFormat="1" applyFont="1" applyFill="1" applyBorder="1" applyAlignment="1">
      <alignment horizontal="right" vertical="center" wrapText="1" indent="1"/>
    </xf>
    <xf numFmtId="3" fontId="9" fillId="5" borderId="55" xfId="0" applyNumberFormat="1" applyFont="1" applyFill="1" applyBorder="1" applyAlignment="1">
      <alignment horizontal="right" vertical="center" wrapText="1" indent="1"/>
    </xf>
    <xf numFmtId="164" fontId="9" fillId="5" borderId="158" xfId="0" applyNumberFormat="1" applyFont="1" applyFill="1" applyBorder="1" applyAlignment="1">
      <alignment horizontal="right" vertical="center" wrapText="1" indent="1"/>
    </xf>
    <xf numFmtId="3" fontId="9" fillId="5" borderId="156" xfId="0" applyNumberFormat="1" applyFont="1" applyFill="1" applyBorder="1" applyAlignment="1">
      <alignment horizontal="right" vertical="center" wrapText="1" indent="1"/>
    </xf>
    <xf numFmtId="164" fontId="9" fillId="5" borderId="156" xfId="0" applyNumberFormat="1" applyFont="1" applyFill="1" applyBorder="1" applyAlignment="1">
      <alignment horizontal="right" vertical="center" wrapText="1" indent="1"/>
    </xf>
    <xf numFmtId="164" fontId="12" fillId="5" borderId="40" xfId="0" applyNumberFormat="1" applyFont="1" applyFill="1" applyBorder="1" applyAlignment="1">
      <alignment horizontal="right" vertical="center" wrapText="1"/>
    </xf>
    <xf numFmtId="164" fontId="10" fillId="5" borderId="40" xfId="0" applyNumberFormat="1" applyFont="1" applyFill="1" applyBorder="1" applyAlignment="1">
      <alignment horizontal="right" vertical="center" wrapText="1"/>
    </xf>
    <xf numFmtId="0" fontId="10" fillId="5" borderId="43" xfId="0" applyFont="1" applyFill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right" vertical="center" wrapText="1"/>
    </xf>
    <xf numFmtId="3" fontId="9" fillId="5" borderId="42" xfId="0" applyNumberFormat="1" applyFont="1" applyFill="1" applyBorder="1" applyAlignment="1">
      <alignment horizontal="right" vertical="center" wrapText="1"/>
    </xf>
    <xf numFmtId="164" fontId="9" fillId="5" borderId="43" xfId="0" applyNumberFormat="1" applyFont="1" applyFill="1" applyBorder="1" applyAlignment="1">
      <alignment horizontal="right" vertical="center" wrapText="1"/>
    </xf>
    <xf numFmtId="164" fontId="12" fillId="5" borderId="43" xfId="0" applyNumberFormat="1" applyFont="1" applyFill="1" applyBorder="1" applyAlignment="1">
      <alignment horizontal="right" vertical="center" wrapText="1"/>
    </xf>
    <xf numFmtId="0" fontId="2" fillId="5" borderId="164" xfId="6" applyFont="1" applyFill="1" applyBorder="1"/>
    <xf numFmtId="49" fontId="21" fillId="5" borderId="165" xfId="0" applyNumberFormat="1" applyFont="1" applyFill="1" applyBorder="1" applyAlignment="1">
      <alignment horizontal="center" vertical="center" wrapText="1"/>
    </xf>
    <xf numFmtId="49" fontId="21" fillId="5" borderId="164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66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66" xfId="6" applyNumberFormat="1" applyFont="1" applyBorder="1"/>
    <xf numFmtId="0" fontId="22" fillId="0" borderId="0" xfId="0" applyFont="1" applyAlignment="1">
      <alignment vertical="center"/>
    </xf>
    <xf numFmtId="164" fontId="16" fillId="0" borderId="166" xfId="6" applyNumberFormat="1" applyFont="1" applyBorder="1"/>
    <xf numFmtId="0" fontId="16" fillId="0" borderId="0" xfId="6" applyFont="1"/>
    <xf numFmtId="3" fontId="12" fillId="0" borderId="166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0" fontId="2" fillId="0" borderId="88" xfId="0" applyFont="1" applyBorder="1" applyAlignment="1">
      <alignment vertical="center"/>
    </xf>
    <xf numFmtId="164" fontId="12" fillId="0" borderId="167" xfId="6" applyNumberFormat="1" applyFont="1" applyBorder="1"/>
    <xf numFmtId="3" fontId="12" fillId="0" borderId="167" xfId="6" applyNumberFormat="1" applyFont="1" applyBorder="1" applyAlignment="1">
      <alignment horizontal="right"/>
    </xf>
    <xf numFmtId="49" fontId="21" fillId="5" borderId="168" xfId="0" applyNumberFormat="1" applyFont="1" applyFill="1" applyBorder="1" applyAlignment="1">
      <alignment horizontal="center" vertical="center" wrapText="1"/>
    </xf>
    <xf numFmtId="49" fontId="21" fillId="5" borderId="163" xfId="0" applyNumberFormat="1" applyFont="1" applyFill="1" applyBorder="1" applyAlignment="1">
      <alignment horizontal="center" vertical="center" wrapText="1"/>
    </xf>
    <xf numFmtId="164" fontId="5" fillId="5" borderId="40" xfId="0" applyNumberFormat="1" applyFont="1" applyFill="1" applyBorder="1" applyAlignment="1">
      <alignment horizontal="right" vertical="center" wrapText="1" indent="1"/>
    </xf>
    <xf numFmtId="164" fontId="2" fillId="5" borderId="41" xfId="0" applyNumberFormat="1" applyFont="1" applyFill="1" applyBorder="1" applyAlignment="1">
      <alignment horizontal="right" vertical="center" wrapText="1" indent="1"/>
    </xf>
    <xf numFmtId="164" fontId="5" fillId="5" borderId="41" xfId="0" applyNumberFormat="1" applyFont="1" applyFill="1" applyBorder="1" applyAlignment="1">
      <alignment horizontal="right" vertical="center" wrapText="1" indent="1"/>
    </xf>
    <xf numFmtId="0" fontId="21" fillId="5" borderId="45" xfId="0" applyFont="1" applyFill="1" applyBorder="1" applyAlignment="1">
      <alignment vertical="center" wrapText="1"/>
    </xf>
    <xf numFmtId="164" fontId="21" fillId="5" borderId="46" xfId="2" applyNumberFormat="1" applyFont="1" applyFill="1" applyBorder="1" applyAlignment="1">
      <alignment horizontal="right" vertical="center" wrapText="1" indent="1"/>
    </xf>
    <xf numFmtId="164" fontId="21" fillId="5" borderId="45" xfId="2" applyNumberFormat="1" applyFont="1" applyFill="1" applyBorder="1" applyAlignment="1">
      <alignment horizontal="right" vertical="center" wrapText="1" indent="1"/>
    </xf>
    <xf numFmtId="164" fontId="21" fillId="5" borderId="47" xfId="2" applyNumberFormat="1" applyFont="1" applyFill="1" applyBorder="1" applyAlignment="1">
      <alignment horizontal="right" vertical="center" wrapText="1" indent="1"/>
    </xf>
    <xf numFmtId="3" fontId="21" fillId="5" borderId="45" xfId="0" applyNumberFormat="1" applyFont="1" applyFill="1" applyBorder="1" applyAlignment="1">
      <alignment horizontal="right" vertical="center" wrapText="1" indent="1"/>
    </xf>
    <xf numFmtId="49" fontId="21" fillId="5" borderId="169" xfId="0" applyNumberFormat="1" applyFont="1" applyFill="1" applyBorder="1" applyAlignment="1">
      <alignment horizontal="center" vertical="center" wrapText="1"/>
    </xf>
    <xf numFmtId="3" fontId="78" fillId="0" borderId="170" xfId="4" applyNumberFormat="1" applyFont="1" applyFill="1" applyBorder="1"/>
    <xf numFmtId="3" fontId="78" fillId="0" borderId="170" xfId="6" applyNumberFormat="1" applyFont="1" applyBorder="1"/>
    <xf numFmtId="164" fontId="78" fillId="0" borderId="170" xfId="2" applyNumberFormat="1" applyFont="1" applyBorder="1" applyAlignment="1">
      <alignment horizontal="right" vertical="center"/>
    </xf>
    <xf numFmtId="164" fontId="79" fillId="0" borderId="170" xfId="2" applyNumberFormat="1" applyFont="1" applyBorder="1"/>
    <xf numFmtId="164" fontId="78" fillId="0" borderId="170" xfId="6" applyNumberFormat="1" applyFont="1" applyBorder="1"/>
    <xf numFmtId="164" fontId="79" fillId="0" borderId="170" xfId="6" applyNumberFormat="1" applyFont="1" applyBorder="1"/>
    <xf numFmtId="164" fontId="78" fillId="0" borderId="171" xfId="6" applyNumberFormat="1" applyFont="1" applyBorder="1"/>
    <xf numFmtId="0" fontId="22" fillId="5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81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22" fillId="5" borderId="36" xfId="0" applyFont="1" applyFill="1" applyBorder="1" applyAlignment="1">
      <alignment horizontal="center" vertical="center" wrapText="1"/>
    </xf>
    <xf numFmtId="49" fontId="5" fillId="5" borderId="36" xfId="0" applyNumberFormat="1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vertical="top" wrapText="1"/>
    </xf>
    <xf numFmtId="0" fontId="10" fillId="4" borderId="42" xfId="0" applyFont="1" applyFill="1" applyBorder="1" applyAlignment="1">
      <alignment vertical="top" wrapText="1"/>
    </xf>
    <xf numFmtId="0" fontId="80" fillId="4" borderId="42" xfId="0" applyFont="1" applyFill="1" applyBorder="1" applyAlignment="1">
      <alignment horizontal="left" vertical="center" wrapText="1"/>
    </xf>
    <xf numFmtId="0" fontId="22" fillId="5" borderId="37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3" fontId="2" fillId="5" borderId="88" xfId="0" applyNumberFormat="1" applyFont="1" applyFill="1" applyBorder="1" applyAlignment="1">
      <alignment horizontal="left" vertical="center" wrapText="1"/>
    </xf>
    <xf numFmtId="3" fontId="14" fillId="5" borderId="0" xfId="0" applyNumberFormat="1" applyFont="1" applyFill="1" applyAlignment="1">
      <alignment horizontal="center" vertical="center" wrapText="1"/>
    </xf>
    <xf numFmtId="3" fontId="10" fillId="6" borderId="42" xfId="0" applyNumberFormat="1" applyFont="1" applyFill="1" applyBorder="1" applyAlignment="1">
      <alignment horizontal="right" vertical="center" wrapText="1" indent="1"/>
    </xf>
    <xf numFmtId="3" fontId="10" fillId="4" borderId="42" xfId="0" applyNumberFormat="1" applyFont="1" applyFill="1" applyBorder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 indent="2"/>
    </xf>
    <xf numFmtId="164" fontId="22" fillId="6" borderId="43" xfId="0" applyNumberFormat="1" applyFont="1" applyFill="1" applyBorder="1" applyAlignment="1">
      <alignment horizontal="right" vertical="center" wrapText="1" indent="1"/>
    </xf>
    <xf numFmtId="164" fontId="22" fillId="4" borderId="43" xfId="0" applyNumberFormat="1" applyFont="1" applyFill="1" applyBorder="1" applyAlignment="1">
      <alignment horizontal="right" vertical="center" wrapText="1" indent="1"/>
    </xf>
    <xf numFmtId="164" fontId="22" fillId="3" borderId="40" xfId="0" applyNumberFormat="1" applyFont="1" applyFill="1" applyBorder="1" applyAlignment="1">
      <alignment horizontal="right" vertical="center" wrapText="1" indent="1"/>
    </xf>
    <xf numFmtId="164" fontId="22" fillId="5" borderId="40" xfId="0" applyNumberFormat="1" applyFont="1" applyFill="1" applyBorder="1" applyAlignment="1">
      <alignment horizontal="right" vertical="center" wrapText="1" indent="1"/>
    </xf>
    <xf numFmtId="164" fontId="2" fillId="5" borderId="40" xfId="0" applyNumberFormat="1" applyFont="1" applyFill="1" applyBorder="1" applyAlignment="1">
      <alignment horizontal="right" vertical="center" wrapText="1" indent="1"/>
    </xf>
    <xf numFmtId="164" fontId="81" fillId="5" borderId="40" xfId="0" applyNumberFormat="1" applyFont="1" applyFill="1" applyBorder="1" applyAlignment="1">
      <alignment horizontal="right" vertical="center" wrapText="1" indent="1"/>
    </xf>
    <xf numFmtId="164" fontId="22" fillId="0" borderId="40" xfId="0" applyNumberFormat="1" applyFont="1" applyBorder="1" applyAlignment="1">
      <alignment horizontal="right" vertical="center" wrapText="1" indent="1"/>
    </xf>
    <xf numFmtId="164" fontId="2" fillId="0" borderId="96" xfId="0" applyNumberFormat="1" applyFont="1" applyBorder="1" applyAlignment="1">
      <alignment horizontal="right" vertical="center" wrapText="1" indent="1"/>
    </xf>
    <xf numFmtId="164" fontId="5" fillId="5" borderId="37" xfId="2" applyNumberFormat="1" applyFont="1" applyFill="1" applyBorder="1" applyAlignment="1">
      <alignment horizontal="right" vertical="center" wrapText="1" indent="1"/>
    </xf>
    <xf numFmtId="164" fontId="5" fillId="5" borderId="36" xfId="2" applyNumberFormat="1" applyFont="1" applyFill="1" applyBorder="1" applyAlignment="1">
      <alignment horizontal="right" vertical="center" wrapText="1" inden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164" fontId="80" fillId="4" borderId="43" xfId="0" applyNumberFormat="1" applyFont="1" applyFill="1" applyBorder="1" applyAlignment="1">
      <alignment horizontal="right" vertical="center" wrapText="1" indent="1"/>
    </xf>
    <xf numFmtId="3" fontId="10" fillId="3" borderId="0" xfId="0" applyNumberFormat="1" applyFont="1" applyFill="1" applyAlignment="1">
      <alignment horizontal="right" vertical="center" wrapText="1" indent="1"/>
    </xf>
    <xf numFmtId="3" fontId="9" fillId="5" borderId="88" xfId="0" applyNumberFormat="1" applyFont="1" applyFill="1" applyBorder="1" applyAlignment="1">
      <alignment horizontal="right" vertical="center" wrapText="1" indent="1"/>
    </xf>
    <xf numFmtId="1" fontId="10" fillId="3" borderId="41" xfId="0" applyNumberFormat="1" applyFont="1" applyFill="1" applyBorder="1" applyAlignment="1">
      <alignment horizontal="right" vertical="center" wrapText="1"/>
    </xf>
    <xf numFmtId="165" fontId="10" fillId="3" borderId="41" xfId="0" applyNumberFormat="1" applyFont="1" applyFill="1" applyBorder="1" applyAlignment="1">
      <alignment horizontal="right" vertical="center" wrapText="1"/>
    </xf>
    <xf numFmtId="165" fontId="9" fillId="3" borderId="44" xfId="0" applyNumberFormat="1" applyFont="1" applyFill="1" applyBorder="1" applyAlignment="1">
      <alignment horizontal="right" vertical="center" wrapText="1"/>
    </xf>
    <xf numFmtId="1" fontId="10" fillId="3" borderId="47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center" wrapText="1"/>
    </xf>
    <xf numFmtId="164" fontId="10" fillId="0" borderId="56" xfId="0" applyNumberFormat="1" applyFont="1" applyBorder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0" fontId="56" fillId="5" borderId="0" xfId="0" applyFont="1" applyFill="1" applyAlignment="1">
      <alignment horizontal="left" vertical="center" wrapText="1"/>
    </xf>
    <xf numFmtId="164" fontId="16" fillId="5" borderId="56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10" xfId="0" applyNumberFormat="1" applyFont="1" applyFill="1" applyBorder="1" applyAlignment="1">
      <alignment horizontal="right" vertical="center" wrapText="1"/>
    </xf>
    <xf numFmtId="165" fontId="10" fillId="5" borderId="111" xfId="0" applyNumberFormat="1" applyFont="1" applyFill="1" applyBorder="1" applyAlignment="1">
      <alignment horizontal="right" vertical="center" wrapText="1"/>
    </xf>
    <xf numFmtId="3" fontId="10" fillId="5" borderId="21" xfId="0" applyNumberFormat="1" applyFont="1" applyFill="1" applyBorder="1" applyAlignment="1">
      <alignment horizontal="right" vertical="center" wrapText="1"/>
    </xf>
    <xf numFmtId="0" fontId="56" fillId="5" borderId="21" xfId="0" applyFont="1" applyFill="1" applyBorder="1" applyAlignment="1">
      <alignment horizontal="left" vertical="center" wrapText="1"/>
    </xf>
    <xf numFmtId="0" fontId="9" fillId="5" borderId="157" xfId="0" applyFont="1" applyFill="1" applyBorder="1" applyAlignment="1">
      <alignment horizontal="left" vertical="center" wrapText="1" indent="1"/>
    </xf>
    <xf numFmtId="164" fontId="9" fillId="5" borderId="72" xfId="0" applyNumberFormat="1" applyFont="1" applyFill="1" applyBorder="1" applyAlignment="1">
      <alignment horizontal="right" vertical="center" wrapText="1" indent="1"/>
    </xf>
    <xf numFmtId="1" fontId="9" fillId="5" borderId="8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73" xfId="0" applyNumberFormat="1" applyFont="1" applyFill="1" applyBorder="1" applyAlignment="1">
      <alignment horizontal="right" vertical="center" wrapText="1" indent="1"/>
    </xf>
    <xf numFmtId="164" fontId="10" fillId="5" borderId="74" xfId="0" applyNumberFormat="1" applyFont="1" applyFill="1" applyBorder="1" applyAlignment="1">
      <alignment horizontal="right" vertical="center" wrapText="1" indent="1"/>
    </xf>
    <xf numFmtId="49" fontId="9" fillId="5" borderId="11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2" xfId="0" applyFont="1" applyFill="1" applyBorder="1" applyAlignment="1">
      <alignment horizontal="left" vertical="center" wrapText="1"/>
    </xf>
    <xf numFmtId="0" fontId="10" fillId="5" borderId="174" xfId="0" applyFont="1" applyFill="1" applyBorder="1" applyAlignment="1">
      <alignment horizontal="left" vertical="center" wrapText="1"/>
    </xf>
    <xf numFmtId="3" fontId="10" fillId="5" borderId="45" xfId="0" applyNumberFormat="1" applyFont="1" applyFill="1" applyBorder="1" applyAlignment="1">
      <alignment horizontal="right" vertical="center" wrapText="1" indent="1"/>
    </xf>
    <xf numFmtId="14" fontId="84" fillId="5" borderId="173" xfId="0" applyNumberFormat="1" applyFont="1" applyFill="1" applyBorder="1" applyAlignment="1">
      <alignment horizontal="left" vertical="center" wrapText="1"/>
    </xf>
    <xf numFmtId="0" fontId="14" fillId="5" borderId="172" xfId="0" applyFont="1" applyFill="1" applyBorder="1" applyAlignment="1">
      <alignment horizontal="right" vertical="center" wrapText="1" indent="1"/>
    </xf>
    <xf numFmtId="14" fontId="84" fillId="5" borderId="175" xfId="0" applyNumberFormat="1" applyFont="1" applyFill="1" applyBorder="1" applyAlignment="1">
      <alignment horizontal="left" vertical="center" wrapText="1"/>
    </xf>
    <xf numFmtId="0" fontId="14" fillId="5" borderId="116" xfId="0" applyFont="1" applyFill="1" applyBorder="1" applyAlignment="1">
      <alignment horizontal="right" vertical="center" wrapText="1" indent="1"/>
    </xf>
    <xf numFmtId="0" fontId="10" fillId="5" borderId="176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center" vertical="center" wrapText="1"/>
    </xf>
    <xf numFmtId="164" fontId="17" fillId="3" borderId="45" xfId="2" applyNumberFormat="1" applyFont="1" applyFill="1" applyBorder="1" applyAlignment="1">
      <alignment horizontal="right" vertical="center" wrapText="1" indent="1"/>
    </xf>
    <xf numFmtId="164" fontId="17" fillId="3" borderId="47" xfId="2" applyNumberFormat="1" applyFont="1" applyFill="1" applyBorder="1" applyAlignment="1">
      <alignment horizontal="right" vertical="center" wrapText="1" indent="1"/>
    </xf>
    <xf numFmtId="164" fontId="76" fillId="3" borderId="57" xfId="2" applyNumberFormat="1" applyFont="1" applyFill="1" applyBorder="1" applyAlignment="1">
      <alignment vertical="center" wrapText="1"/>
    </xf>
    <xf numFmtId="164" fontId="76" fillId="3" borderId="58" xfId="2" applyNumberFormat="1" applyFont="1" applyFill="1" applyBorder="1" applyAlignment="1">
      <alignment vertical="center" wrapText="1"/>
    </xf>
    <xf numFmtId="164" fontId="10" fillId="5" borderId="58" xfId="2" applyNumberFormat="1" applyFont="1" applyFill="1" applyBorder="1" applyAlignment="1">
      <alignment vertical="center" wrapText="1"/>
    </xf>
    <xf numFmtId="49" fontId="80" fillId="5" borderId="28" xfId="7" applyNumberFormat="1" applyFont="1" applyFill="1" applyBorder="1" applyAlignment="1">
      <alignment vertical="center" wrapText="1"/>
    </xf>
    <xf numFmtId="49" fontId="81" fillId="5" borderId="0" xfId="7" applyNumberFormat="1" applyFont="1" applyFill="1" applyAlignment="1">
      <alignment vertical="center" wrapText="1"/>
    </xf>
    <xf numFmtId="49" fontId="81" fillId="5" borderId="27" xfId="7" applyNumberFormat="1" applyFont="1" applyFill="1" applyBorder="1" applyAlignment="1">
      <alignment vertical="center" wrapText="1"/>
    </xf>
    <xf numFmtId="49" fontId="81" fillId="5" borderId="88" xfId="7" applyNumberFormat="1" applyFont="1" applyFill="1" applyBorder="1" applyAlignment="1">
      <alignment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top" wrapText="1"/>
    </xf>
    <xf numFmtId="0" fontId="22" fillId="3" borderId="12" xfId="0" applyFont="1" applyFill="1" applyBorder="1" applyAlignment="1">
      <alignment horizontal="right" vertical="center" wrapText="1" indent="1"/>
    </xf>
    <xf numFmtId="0" fontId="22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2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64" fontId="22" fillId="5" borderId="20" xfId="0" applyNumberFormat="1" applyFont="1" applyFill="1" applyBorder="1" applyAlignment="1">
      <alignment horizontal="right" vertical="center" wrapText="1" indent="1"/>
    </xf>
    <xf numFmtId="1" fontId="22" fillId="3" borderId="12" xfId="0" applyNumberFormat="1" applyFont="1" applyFill="1" applyBorder="1" applyAlignment="1">
      <alignment horizontal="right" vertical="center" wrapText="1" indent="1"/>
    </xf>
    <xf numFmtId="164" fontId="2" fillId="5" borderId="20" xfId="0" applyNumberFormat="1" applyFont="1" applyFill="1" applyBorder="1" applyAlignment="1">
      <alignment horizontal="right" vertical="center" wrapText="1" indent="1"/>
    </xf>
    <xf numFmtId="0" fontId="2" fillId="3" borderId="12" xfId="0" applyFont="1" applyFill="1" applyBorder="1" applyAlignment="1">
      <alignment horizontal="right" vertical="center" wrapText="1" indent="1"/>
    </xf>
    <xf numFmtId="0" fontId="5" fillId="3" borderId="12" xfId="0" applyFont="1" applyFill="1" applyBorder="1" applyAlignment="1">
      <alignment horizontal="right" vertical="center" wrapText="1" indent="1"/>
    </xf>
    <xf numFmtId="0" fontId="22" fillId="5" borderId="14" xfId="0" applyFont="1" applyFill="1" applyBorder="1" applyAlignment="1">
      <alignment vertical="top" wrapText="1"/>
    </xf>
    <xf numFmtId="164" fontId="22" fillId="5" borderId="63" xfId="0" applyNumberFormat="1" applyFont="1" applyFill="1" applyBorder="1" applyAlignment="1">
      <alignment horizontal="right" vertical="center" wrapText="1" indent="1"/>
    </xf>
    <xf numFmtId="0" fontId="22" fillId="3" borderId="13" xfId="0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vertical="top" wrapText="1"/>
    </xf>
    <xf numFmtId="164" fontId="22" fillId="5" borderId="33" xfId="0" applyNumberFormat="1" applyFont="1" applyFill="1" applyBorder="1" applyAlignment="1">
      <alignment horizontal="right" vertical="center" wrapText="1" indent="1"/>
    </xf>
    <xf numFmtId="0" fontId="22" fillId="3" borderId="15" xfId="0" applyFont="1" applyFill="1" applyBorder="1" applyAlignment="1">
      <alignment horizontal="right" vertical="center" wrapText="1" indent="1"/>
    </xf>
    <xf numFmtId="1" fontId="22" fillId="5" borderId="0" xfId="0" applyNumberFormat="1" applyFont="1" applyFill="1" applyAlignment="1">
      <alignment horizontal="right" vertical="center" wrapText="1" indent="1"/>
    </xf>
    <xf numFmtId="1" fontId="22" fillId="5" borderId="14" xfId="0" applyNumberFormat="1" applyFont="1" applyFill="1" applyBorder="1" applyAlignment="1">
      <alignment horizontal="right" vertical="center" wrapText="1" indent="1"/>
    </xf>
    <xf numFmtId="3" fontId="9" fillId="5" borderId="56" xfId="0" applyNumberFormat="1" applyFont="1" applyFill="1" applyBorder="1" applyAlignment="1">
      <alignment horizontal="right" vertical="center" wrapText="1" indent="1"/>
    </xf>
    <xf numFmtId="0" fontId="10" fillId="0" borderId="42" xfId="0" applyFont="1" applyBorder="1" applyAlignment="1">
      <alignment vertical="center" wrapText="1"/>
    </xf>
    <xf numFmtId="164" fontId="10" fillId="0" borderId="177" xfId="0" applyNumberFormat="1" applyFont="1" applyBorder="1" applyAlignment="1">
      <alignment horizontal="right" vertical="center" wrapText="1" indent="1"/>
    </xf>
    <xf numFmtId="3" fontId="10" fillId="0" borderId="42" xfId="0" applyNumberFormat="1" applyFont="1" applyBorder="1" applyAlignment="1">
      <alignment horizontal="right" vertical="center" wrapText="1" indent="1"/>
    </xf>
    <xf numFmtId="165" fontId="10" fillId="3" borderId="178" xfId="0" applyNumberFormat="1" applyFont="1" applyFill="1" applyBorder="1" applyAlignment="1">
      <alignment horizontal="right" vertical="center" wrapText="1" indent="1"/>
    </xf>
    <xf numFmtId="165" fontId="9" fillId="3" borderId="157" xfId="0" applyNumberFormat="1" applyFont="1" applyFill="1" applyBorder="1" applyAlignment="1">
      <alignment horizontal="right" vertical="center" wrapText="1" indent="1"/>
    </xf>
    <xf numFmtId="0" fontId="80" fillId="5" borderId="85" xfId="7" applyFont="1" applyFill="1" applyBorder="1" applyAlignment="1">
      <alignment vertical="center" wrapText="1"/>
    </xf>
    <xf numFmtId="164" fontId="22" fillId="5" borderId="91" xfId="7" applyNumberFormat="1" applyFont="1" applyFill="1" applyBorder="1" applyAlignment="1">
      <alignment horizontal="right" vertical="center" wrapText="1" indent="1"/>
    </xf>
    <xf numFmtId="164" fontId="22" fillId="5" borderId="85" xfId="7" applyNumberFormat="1" applyFont="1" applyFill="1" applyBorder="1" applyAlignment="1">
      <alignment horizontal="right" vertical="center" wrapText="1" indent="1"/>
    </xf>
    <xf numFmtId="164" fontId="22" fillId="3" borderId="85" xfId="7" applyNumberFormat="1" applyFont="1" applyFill="1" applyBorder="1" applyAlignment="1">
      <alignment horizontal="right" vertical="center" wrapText="1" indent="1"/>
    </xf>
    <xf numFmtId="164" fontId="22" fillId="3" borderId="78" xfId="7" applyNumberFormat="1" applyFont="1" applyFill="1" applyBorder="1" applyAlignment="1">
      <alignment horizontal="right" vertical="center" wrapText="1" indent="1"/>
    </xf>
    <xf numFmtId="164" fontId="2" fillId="5" borderId="40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3" borderId="41" xfId="7" applyNumberFormat="1" applyFont="1" applyFill="1" applyBorder="1" applyAlignment="1">
      <alignment horizontal="right" vertical="center" wrapText="1" indent="1"/>
    </xf>
    <xf numFmtId="49" fontId="81" fillId="5" borderId="36" xfId="7" applyNumberFormat="1" applyFont="1" applyFill="1" applyBorder="1" applyAlignment="1">
      <alignment vertical="center" wrapText="1"/>
    </xf>
    <xf numFmtId="164" fontId="2" fillId="5" borderId="37" xfId="7" applyNumberFormat="1" applyFont="1" applyFill="1" applyBorder="1" applyAlignment="1">
      <alignment horizontal="right" vertical="center" wrapText="1" indent="1"/>
    </xf>
    <xf numFmtId="164" fontId="2" fillId="5" borderId="36" xfId="7" applyNumberFormat="1" applyFont="1" applyFill="1" applyBorder="1" applyAlignment="1">
      <alignment horizontal="right" vertical="center" wrapText="1" indent="1"/>
    </xf>
    <xf numFmtId="49" fontId="80" fillId="5" borderId="78" xfId="7" applyNumberFormat="1" applyFont="1" applyFill="1" applyBorder="1" applyAlignment="1">
      <alignment vertical="center" wrapText="1"/>
    </xf>
    <xf numFmtId="49" fontId="81" fillId="5" borderId="41" xfId="7" applyNumberFormat="1" applyFont="1" applyFill="1" applyBorder="1" applyAlignment="1">
      <alignment vertical="center" wrapText="1"/>
    </xf>
    <xf numFmtId="164" fontId="81" fillId="5" borderId="0" xfId="7" applyNumberFormat="1" applyFont="1" applyFill="1" applyAlignment="1">
      <alignment horizontal="right" vertical="center" wrapText="1" indent="1"/>
    </xf>
    <xf numFmtId="49" fontId="81" fillId="5" borderId="38" xfId="7" applyNumberFormat="1" applyFont="1" applyFill="1" applyBorder="1" applyAlignment="1">
      <alignment vertical="center" wrapText="1"/>
    </xf>
    <xf numFmtId="164" fontId="81" fillId="5" borderId="37" xfId="7" applyNumberFormat="1" applyFont="1" applyFill="1" applyBorder="1" applyAlignment="1">
      <alignment horizontal="right" vertical="center" wrapText="1" indent="1"/>
    </xf>
    <xf numFmtId="164" fontId="81" fillId="5" borderId="36" xfId="7" applyNumberFormat="1" applyFont="1" applyFill="1" applyBorder="1" applyAlignment="1">
      <alignment horizontal="right" vertical="center" wrapText="1" indent="1"/>
    </xf>
    <xf numFmtId="49" fontId="80" fillId="5" borderId="85" xfId="7" applyNumberFormat="1" applyFont="1" applyFill="1" applyBorder="1" applyAlignment="1">
      <alignment vertical="center" wrapText="1"/>
    </xf>
    <xf numFmtId="164" fontId="12" fillId="5" borderId="96" xfId="7" applyNumberFormat="1" applyFont="1" applyFill="1" applyBorder="1" applyAlignment="1">
      <alignment horizontal="right" vertical="center" wrapText="1" indent="1"/>
    </xf>
    <xf numFmtId="164" fontId="12" fillId="5" borderId="88" xfId="7" applyNumberFormat="1" applyFont="1" applyFill="1" applyBorder="1" applyAlignment="1">
      <alignment horizontal="right" vertical="center" wrapText="1" indent="1"/>
    </xf>
    <xf numFmtId="164" fontId="2" fillId="3" borderId="97" xfId="7" applyNumberFormat="1" applyFont="1" applyFill="1" applyBorder="1" applyAlignment="1">
      <alignment horizontal="right" vertical="center" wrapText="1" indent="1"/>
    </xf>
    <xf numFmtId="164" fontId="10" fillId="5" borderId="45" xfId="2" applyNumberFormat="1" applyFont="1" applyFill="1" applyBorder="1" applyAlignment="1">
      <alignment horizontal="right" vertical="center" wrapText="1"/>
    </xf>
    <xf numFmtId="49" fontId="10" fillId="5" borderId="36" xfId="0" applyNumberFormat="1" applyFont="1" applyFill="1" applyBorder="1" applyAlignment="1">
      <alignment horizontal="right" vertical="center" wrapText="1"/>
    </xf>
    <xf numFmtId="3" fontId="22" fillId="5" borderId="16" xfId="0" applyNumberFormat="1" applyFont="1" applyFill="1" applyBorder="1" applyAlignment="1">
      <alignment horizontal="right" vertical="center" wrapText="1" indent="1"/>
    </xf>
    <xf numFmtId="0" fontId="1" fillId="0" borderId="0" xfId="1" applyFill="1"/>
    <xf numFmtId="0" fontId="74" fillId="5" borderId="55" xfId="0" applyFont="1" applyFill="1" applyBorder="1" applyAlignment="1">
      <alignment horizontal="center" vertical="center" wrapText="1"/>
    </xf>
    <xf numFmtId="0" fontId="74" fillId="5" borderId="27" xfId="0" applyFont="1" applyFill="1" applyBorder="1" applyAlignment="1">
      <alignment horizontal="center" vertical="center" wrapText="1"/>
    </xf>
    <xf numFmtId="0" fontId="74" fillId="5" borderId="5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9" fillId="5" borderId="26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vertical="center" wrapText="1"/>
    </xf>
    <xf numFmtId="0" fontId="9" fillId="5" borderId="108" xfId="0" applyFont="1" applyFill="1" applyBorder="1" applyAlignment="1">
      <alignment horizontal="center" vertical="center" wrapText="1"/>
    </xf>
    <xf numFmtId="0" fontId="9" fillId="5" borderId="109" xfId="0" applyFont="1" applyFill="1" applyBorder="1" applyAlignment="1">
      <alignment horizontal="center" vertical="center" wrapText="1"/>
    </xf>
    <xf numFmtId="0" fontId="9" fillId="5" borderId="112" xfId="0" applyFont="1" applyFill="1" applyBorder="1" applyAlignment="1">
      <alignment horizontal="center" vertical="center" wrapText="1"/>
    </xf>
    <xf numFmtId="0" fontId="28" fillId="0" borderId="4" xfId="7" applyFont="1" applyBorder="1" applyAlignment="1">
      <alignment horizontal="center" vertical="center" wrapText="1"/>
    </xf>
    <xf numFmtId="0" fontId="32" fillId="0" borderId="5" xfId="14" applyFont="1" applyBorder="1" applyAlignment="1">
      <alignment horizontal="center" vertical="center"/>
    </xf>
    <xf numFmtId="0" fontId="23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0" xfId="0" applyFont="1" applyFill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49" fontId="10" fillId="5" borderId="26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49" fontId="10" fillId="5" borderId="25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0" fillId="5" borderId="60" xfId="0" applyNumberFormat="1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8" fillId="5" borderId="3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0" fillId="5" borderId="36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49" fontId="16" fillId="5" borderId="64" xfId="0" applyNumberFormat="1" applyFont="1" applyFill="1" applyBorder="1" applyAlignment="1">
      <alignment horizontal="center" vertical="center" wrapText="1"/>
    </xf>
    <xf numFmtId="49" fontId="16" fillId="5" borderId="60" xfId="0" applyNumberFormat="1" applyFont="1" applyFill="1" applyBorder="1" applyAlignment="1">
      <alignment horizontal="center" vertical="center" wrapText="1"/>
    </xf>
    <xf numFmtId="49" fontId="10" fillId="5" borderId="106" xfId="0" applyNumberFormat="1" applyFont="1" applyFill="1" applyBorder="1" applyAlignment="1">
      <alignment horizontal="center" vertical="center" wrapText="1"/>
    </xf>
    <xf numFmtId="49" fontId="10" fillId="5" borderId="107" xfId="0" applyNumberFormat="1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10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75" xfId="0" applyFont="1" applyFill="1" applyBorder="1" applyAlignment="1">
      <alignment horizontal="center" vertical="center" wrapText="1"/>
    </xf>
    <xf numFmtId="0" fontId="12" fillId="5" borderId="75" xfId="0" applyFont="1" applyFill="1" applyBorder="1" applyAlignment="1">
      <alignment horizontal="center" vertical="center" wrapText="1"/>
    </xf>
    <xf numFmtId="0" fontId="12" fillId="5" borderId="76" xfId="0" applyFont="1" applyFill="1" applyBorder="1" applyAlignment="1">
      <alignment horizontal="center" vertical="center" wrapText="1"/>
    </xf>
    <xf numFmtId="0" fontId="46" fillId="7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60" fillId="5" borderId="52" xfId="0" applyNumberFormat="1" applyFont="1" applyFill="1" applyBorder="1" applyAlignment="1">
      <alignment horizontal="center" vertical="center" wrapText="1"/>
    </xf>
    <xf numFmtId="49" fontId="61" fillId="5" borderId="53" xfId="0" applyNumberFormat="1" applyFont="1" applyFill="1" applyBorder="1" applyAlignment="1">
      <alignment horizontal="center" vertical="center" wrapText="1"/>
    </xf>
    <xf numFmtId="49" fontId="61" fillId="5" borderId="54" xfId="0" applyNumberFormat="1" applyFont="1" applyFill="1" applyBorder="1" applyAlignment="1">
      <alignment horizontal="center" vertical="center" wrapText="1"/>
    </xf>
    <xf numFmtId="0" fontId="74" fillId="5" borderId="0" xfId="0" applyFont="1" applyFill="1" applyAlignment="1">
      <alignment horizontal="center" vertical="center" wrapText="1"/>
    </xf>
    <xf numFmtId="0" fontId="75" fillId="5" borderId="27" xfId="0" applyFont="1" applyFill="1" applyBorder="1" applyAlignment="1">
      <alignment horizontal="center" vertical="center" wrapText="1"/>
    </xf>
    <xf numFmtId="0" fontId="60" fillId="5" borderId="0" xfId="0" applyFont="1" applyFill="1" applyAlignment="1">
      <alignment horizontal="center" vertical="center" wrapText="1"/>
    </xf>
    <xf numFmtId="0" fontId="61" fillId="5" borderId="27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49" fontId="10" fillId="5" borderId="52" xfId="0" applyNumberFormat="1" applyFont="1" applyFill="1" applyBorder="1" applyAlignment="1">
      <alignment horizontal="center" vertical="center" wrapText="1"/>
    </xf>
    <xf numFmtId="49" fontId="16" fillId="5" borderId="53" xfId="0" applyNumberFormat="1" applyFont="1" applyFill="1" applyBorder="1" applyAlignment="1">
      <alignment horizontal="center" vertical="center" wrapText="1"/>
    </xf>
    <xf numFmtId="49" fontId="16" fillId="5" borderId="54" xfId="0" applyNumberFormat="1" applyFont="1" applyFill="1" applyBorder="1" applyAlignment="1">
      <alignment horizontal="center" vertical="center" wrapText="1"/>
    </xf>
    <xf numFmtId="0" fontId="50" fillId="5" borderId="2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46" fillId="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2" fillId="5" borderId="0" xfId="0" applyFont="1" applyFill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49" fontId="22" fillId="5" borderId="26" xfId="0" applyNumberFormat="1" applyFont="1" applyFill="1" applyBorder="1" applyAlignment="1">
      <alignment horizontal="center" vertical="center" wrapText="1"/>
    </xf>
    <xf numFmtId="49" fontId="22" fillId="5" borderId="25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62" fillId="0" borderId="77" xfId="0" applyFont="1" applyBorder="1" applyAlignment="1">
      <alignment horizontal="left" vertical="center" wrapText="1"/>
    </xf>
    <xf numFmtId="49" fontId="65" fillId="5" borderId="79" xfId="7" applyNumberFormat="1" applyFont="1" applyFill="1" applyBorder="1" applyAlignment="1">
      <alignment horizontal="center" vertical="center" wrapText="1"/>
    </xf>
    <xf numFmtId="49" fontId="65" fillId="5" borderId="80" xfId="7" applyNumberFormat="1" applyFont="1" applyFill="1" applyBorder="1" applyAlignment="1">
      <alignment horizontal="center" vertical="center" wrapText="1"/>
    </xf>
    <xf numFmtId="49" fontId="65" fillId="5" borderId="81" xfId="7" applyNumberFormat="1" applyFont="1" applyFill="1" applyBorder="1" applyAlignment="1">
      <alignment horizontal="center" vertical="center" wrapText="1"/>
    </xf>
    <xf numFmtId="0" fontId="65" fillId="5" borderId="85" xfId="7" applyFont="1" applyFill="1" applyBorder="1" applyAlignment="1">
      <alignment horizontal="center" vertical="center" wrapText="1"/>
    </xf>
    <xf numFmtId="0" fontId="65" fillId="5" borderId="36" xfId="7" applyFont="1" applyFill="1" applyBorder="1" applyAlignment="1">
      <alignment horizontal="center" vertical="center" wrapText="1"/>
    </xf>
    <xf numFmtId="0" fontId="66" fillId="0" borderId="77" xfId="7" applyFont="1" applyBorder="1"/>
    <xf numFmtId="0" fontId="0" fillId="0" borderId="77" xfId="0" applyBorder="1"/>
    <xf numFmtId="49" fontId="65" fillId="5" borderId="91" xfId="7" applyNumberFormat="1" applyFont="1" applyFill="1" applyBorder="1" applyAlignment="1">
      <alignment horizontal="center" vertical="center" wrapText="1"/>
    </xf>
    <xf numFmtId="49" fontId="18" fillId="5" borderId="85" xfId="7" applyNumberFormat="1" applyFont="1" applyFill="1" applyBorder="1" applyAlignment="1">
      <alignment horizontal="center" vertical="center" wrapText="1"/>
    </xf>
    <xf numFmtId="49" fontId="18" fillId="5" borderId="78" xfId="7" applyNumberFormat="1" applyFont="1" applyFill="1" applyBorder="1" applyAlignment="1">
      <alignment horizontal="center" vertical="center" wrapText="1"/>
    </xf>
    <xf numFmtId="49" fontId="65" fillId="5" borderId="85" xfId="7" applyNumberFormat="1" applyFont="1" applyFill="1" applyBorder="1" applyAlignment="1">
      <alignment horizontal="center" vertical="center" wrapText="1"/>
    </xf>
    <xf numFmtId="0" fontId="65" fillId="5" borderId="78" xfId="7" applyFont="1" applyFill="1" applyBorder="1" applyAlignment="1">
      <alignment horizontal="center" vertical="center" wrapText="1"/>
    </xf>
    <xf numFmtId="0" fontId="65" fillId="5" borderId="38" xfId="7" applyFont="1" applyFill="1" applyBorder="1" applyAlignment="1">
      <alignment horizontal="center" vertical="center" wrapText="1"/>
    </xf>
    <xf numFmtId="0" fontId="57" fillId="5" borderId="41" xfId="7" applyFont="1" applyFill="1" applyBorder="1" applyAlignment="1">
      <alignment horizontal="center" vertical="center" wrapText="1"/>
    </xf>
    <xf numFmtId="49" fontId="16" fillId="5" borderId="79" xfId="7" applyNumberFormat="1" applyFont="1" applyFill="1" applyBorder="1" applyAlignment="1">
      <alignment horizontal="center" vertical="center" wrapText="1"/>
    </xf>
    <xf numFmtId="49" fontId="16" fillId="5" borderId="80" xfId="7" applyNumberFormat="1" applyFont="1" applyFill="1" applyBorder="1" applyAlignment="1">
      <alignment horizontal="center" vertical="center" wrapText="1"/>
    </xf>
    <xf numFmtId="49" fontId="16" fillId="5" borderId="81" xfId="7" applyNumberFormat="1" applyFont="1" applyFill="1" applyBorder="1" applyAlignment="1">
      <alignment horizontal="center" vertical="center" wrapText="1"/>
    </xf>
    <xf numFmtId="0" fontId="16" fillId="5" borderId="80" xfId="7" applyFont="1" applyFill="1" applyBorder="1" applyAlignment="1">
      <alignment horizontal="center" vertical="center" wrapText="1"/>
    </xf>
    <xf numFmtId="0" fontId="70" fillId="0" borderId="98" xfId="7" applyFont="1" applyBorder="1" applyAlignment="1">
      <alignment wrapText="1"/>
    </xf>
    <xf numFmtId="0" fontId="0" fillId="0" borderId="98" xfId="0" applyBorder="1"/>
    <xf numFmtId="0" fontId="21" fillId="5" borderId="12" xfId="3" applyFont="1" applyFill="1" applyBorder="1" applyAlignment="1">
      <alignment horizontal="center" vertical="center" wrapText="1"/>
    </xf>
    <xf numFmtId="0" fontId="21" fillId="5" borderId="10" xfId="3" applyFont="1" applyFill="1" applyBorder="1" applyAlignment="1">
      <alignment horizontal="center" vertical="center" wrapText="1"/>
    </xf>
    <xf numFmtId="0" fontId="47" fillId="5" borderId="18" xfId="3" applyFont="1" applyFill="1" applyBorder="1" applyAlignment="1">
      <alignment horizontal="center" vertical="center" wrapText="1"/>
    </xf>
    <xf numFmtId="0" fontId="47" fillId="5" borderId="29" xfId="3" applyFont="1" applyFill="1" applyBorder="1" applyAlignment="1">
      <alignment horizontal="center" vertical="center" wrapText="1"/>
    </xf>
    <xf numFmtId="49" fontId="21" fillId="5" borderId="26" xfId="3" applyNumberFormat="1" applyFont="1" applyFill="1" applyBorder="1" applyAlignment="1">
      <alignment horizontal="center" vertical="center" wrapText="1"/>
    </xf>
    <xf numFmtId="49" fontId="21" fillId="5" borderId="24" xfId="3" applyNumberFormat="1" applyFont="1" applyFill="1" applyBorder="1" applyAlignment="1">
      <alignment horizontal="center" vertical="center" wrapText="1"/>
    </xf>
    <xf numFmtId="49" fontId="21" fillId="5" borderId="25" xfId="3" applyNumberFormat="1" applyFont="1" applyFill="1" applyBorder="1" applyAlignment="1">
      <alignment horizontal="center" vertical="center" wrapText="1"/>
    </xf>
    <xf numFmtId="0" fontId="47" fillId="5" borderId="17" xfId="3" applyFont="1" applyFill="1" applyBorder="1" applyAlignment="1">
      <alignment horizontal="center" vertical="center" wrapText="1"/>
    </xf>
    <xf numFmtId="0" fontId="70" fillId="0" borderId="98" xfId="7" applyFont="1" applyBorder="1"/>
    <xf numFmtId="49" fontId="21" fillId="5" borderId="99" xfId="3" applyNumberFormat="1" applyFont="1" applyFill="1" applyBorder="1" applyAlignment="1">
      <alignment horizontal="center" vertical="center" wrapText="1"/>
    </xf>
    <xf numFmtId="49" fontId="21" fillId="5" borderId="100" xfId="3" applyNumberFormat="1" applyFont="1" applyFill="1" applyBorder="1" applyAlignment="1">
      <alignment horizontal="center" vertical="center" wrapText="1"/>
    </xf>
    <xf numFmtId="49" fontId="21" fillId="5" borderId="101" xfId="3" applyNumberFormat="1" applyFont="1" applyFill="1" applyBorder="1" applyAlignment="1">
      <alignment horizontal="center" vertical="center" wrapText="1"/>
    </xf>
    <xf numFmtId="0" fontId="21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54" xfId="0" applyNumberFormat="1" applyFont="1" applyBorder="1" applyAlignment="1">
      <alignment horizontal="center" vertical="center"/>
    </xf>
    <xf numFmtId="49" fontId="22" fillId="0" borderId="15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5" borderId="0" xfId="7" applyFont="1" applyFill="1" applyAlignment="1">
      <alignment horizontal="center" vertical="center" wrapText="1"/>
    </xf>
    <xf numFmtId="0" fontId="9" fillId="5" borderId="11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1" xfId="7" applyFont="1" applyFill="1" applyBorder="1" applyAlignment="1">
      <alignment horizontal="center" vertical="center" wrapText="1"/>
    </xf>
    <xf numFmtId="49" fontId="10" fillId="5" borderId="11" xfId="7" applyNumberFormat="1" applyFont="1" applyFill="1" applyBorder="1" applyAlignment="1">
      <alignment horizontal="center" vertical="center" wrapText="1"/>
    </xf>
    <xf numFmtId="49" fontId="10" fillId="5" borderId="10" xfId="7" applyNumberFormat="1" applyFont="1" applyFill="1" applyBorder="1" applyAlignment="1">
      <alignment horizontal="center" vertical="center" wrapText="1"/>
    </xf>
    <xf numFmtId="49" fontId="10" fillId="5" borderId="19" xfId="7" applyNumberFormat="1" applyFont="1" applyFill="1" applyBorder="1" applyAlignment="1">
      <alignment horizontal="center" vertical="center" wrapText="1"/>
    </xf>
    <xf numFmtId="0" fontId="71" fillId="3" borderId="98" xfId="7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2" fillId="5" borderId="117" xfId="0" applyFont="1" applyFill="1" applyBorder="1" applyAlignment="1">
      <alignment horizontal="center" vertical="center" wrapText="1"/>
    </xf>
    <xf numFmtId="49" fontId="22" fillId="5" borderId="118" xfId="0" applyNumberFormat="1" applyFont="1" applyFill="1" applyBorder="1" applyAlignment="1">
      <alignment horizontal="center" vertical="center" wrapText="1"/>
    </xf>
    <xf numFmtId="49" fontId="2" fillId="5" borderId="118" xfId="0" applyNumberFormat="1" applyFont="1" applyFill="1" applyBorder="1" applyAlignment="1">
      <alignment horizontal="center" vertical="center" wrapText="1"/>
    </xf>
    <xf numFmtId="49" fontId="2" fillId="5" borderId="119" xfId="0" applyNumberFormat="1" applyFont="1" applyFill="1" applyBorder="1" applyAlignment="1">
      <alignment horizontal="center" vertical="center" wrapText="1"/>
    </xf>
    <xf numFmtId="0" fontId="22" fillId="5" borderId="10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9" fillId="5" borderId="114" xfId="0" applyFont="1" applyFill="1" applyBorder="1" applyAlignment="1">
      <alignment horizontal="center" vertical="center" wrapText="1"/>
    </xf>
    <xf numFmtId="0" fontId="9" fillId="5" borderId="11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</cellXfs>
  <cellStyles count="37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Normal 9 8 2 2 2" xfId="36" xr:uid="{208824C6-A441-4E07-97D8-CB8304D96368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4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DCDCDC"/>
      <color rgb="FF000000"/>
      <color rgb="FFFABF8F"/>
      <color rgb="FFFFFFCC"/>
      <color rgb="FF0000FF"/>
      <color rgb="FFFFFF99"/>
      <color rgb="FFFF6565"/>
      <color rgb="FFFF4B4B"/>
      <color rgb="FF800000"/>
      <color rgb="FFC4C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216535</xdr:colOff>
      <xdr:row>0</xdr:row>
      <xdr:rowOff>74930</xdr:rowOff>
    </xdr:from>
    <xdr:to>
      <xdr:col>6</xdr:col>
      <xdr:colOff>521335</xdr:colOff>
      <xdr:row>1</xdr:row>
      <xdr:rowOff>55880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SpPr/>
      </xdr:nvSpPr>
      <xdr:spPr>
        <a:xfrm>
          <a:off x="6188710" y="7493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244475</xdr:colOff>
      <xdr:row>0</xdr:row>
      <xdr:rowOff>127635</xdr:rowOff>
    </xdr:from>
    <xdr:to>
      <xdr:col>14</xdr:col>
      <xdr:colOff>526415</xdr:colOff>
      <xdr:row>1</xdr:row>
      <xdr:rowOff>85725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5563235" y="1276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0</xdr:row>
      <xdr:rowOff>50800</xdr:rowOff>
    </xdr:from>
    <xdr:to>
      <xdr:col>8</xdr:col>
      <xdr:colOff>488950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200-000003000000}"/>
            </a:ext>
          </a:extLst>
        </xdr:cNvPr>
        <xdr:cNvSpPr/>
      </xdr:nvSpPr>
      <xdr:spPr>
        <a:xfrm>
          <a:off x="7080250" y="5080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184150</xdr:colOff>
      <xdr:row>0</xdr:row>
      <xdr:rowOff>50800</xdr:rowOff>
    </xdr:from>
    <xdr:to>
      <xdr:col>8</xdr:col>
      <xdr:colOff>488950</xdr:colOff>
      <xdr:row>1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7217410" y="50800"/>
          <a:ext cx="304800" cy="13208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4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156210</xdr:colOff>
      <xdr:row>0</xdr:row>
      <xdr:rowOff>76200</xdr:rowOff>
    </xdr:from>
    <xdr:to>
      <xdr:col>8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C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6350</xdr:rowOff>
    </xdr:from>
    <xdr:to>
      <xdr:col>7</xdr:col>
      <xdr:colOff>546100</xdr:colOff>
      <xdr:row>1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5461000" y="635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drawing" Target="../drawings/drawing1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Relationship Id="rId4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Relationship Id="rId4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drawing" Target="../drawings/drawing26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drawing" Target="../drawings/drawing27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6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6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FW19"/>
  <sheetViews>
    <sheetView showGridLines="0" tabSelected="1" zoomScaleNormal="100" workbookViewId="0">
      <selection activeCell="C8" sqref="C8"/>
    </sheetView>
  </sheetViews>
  <sheetFormatPr defaultColWidth="9.109375" defaultRowHeight="14.4" x14ac:dyDescent="0.3"/>
  <cols>
    <col min="1" max="1" width="12.109375" style="28" customWidth="1"/>
    <col min="2" max="2" width="15" style="28" customWidth="1"/>
    <col min="3" max="3" width="56.109375" style="28" customWidth="1"/>
    <col min="4" max="4" width="13.5546875" style="28" customWidth="1"/>
    <col min="5" max="5" width="13.6640625" style="28" customWidth="1"/>
    <col min="6" max="7" width="9.109375" style="28"/>
    <col min="8" max="8" width="6.88671875" style="28" customWidth="1"/>
    <col min="9" max="9" width="4.6640625" style="28" customWidth="1"/>
    <col min="10" max="10" width="2.88671875" style="28" customWidth="1"/>
    <col min="11" max="16384" width="9.109375" style="28"/>
  </cols>
  <sheetData>
    <row r="1" spans="1:179" ht="25.5" customHeight="1" thickBot="1" x14ac:dyDescent="0.35">
      <c r="A1" s="731" t="s">
        <v>131</v>
      </c>
      <c r="B1" s="731"/>
      <c r="C1" s="731"/>
      <c r="D1" s="731"/>
      <c r="E1" s="73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thickTop="1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.6" x14ac:dyDescent="0.3">
      <c r="H4" s="1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9.8" x14ac:dyDescent="0.3">
      <c r="A5" s="732" t="s">
        <v>585</v>
      </c>
      <c r="B5" s="732"/>
      <c r="C5" s="732"/>
      <c r="D5" s="732"/>
      <c r="E5" s="732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5.6" x14ac:dyDescent="0.3">
      <c r="B6" s="14"/>
      <c r="C6" s="38"/>
      <c r="H6" s="15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C7" s="38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7.399999999999999" x14ac:dyDescent="0.3">
      <c r="B8" s="16"/>
      <c r="C8" s="40" t="s">
        <v>587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x14ac:dyDescent="0.3"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x14ac:dyDescent="0.3"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x14ac:dyDescent="0.3">
      <c r="A11" s="516" t="s">
        <v>130</v>
      </c>
      <c r="B11"/>
      <c r="C11"/>
      <c r="D11"/>
      <c r="E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x14ac:dyDescent="0.3">
      <c r="A12" s="733" t="s">
        <v>421</v>
      </c>
      <c r="B12" s="734"/>
      <c r="C12" s="734"/>
      <c r="D12" s="734"/>
      <c r="E12" s="734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x14ac:dyDescent="0.3">
      <c r="A13" s="734"/>
      <c r="B13" s="734"/>
      <c r="C13" s="734"/>
      <c r="D13" s="734"/>
      <c r="E13" s="734"/>
    </row>
    <row r="14" spans="1:179" x14ac:dyDescent="0.3">
      <c r="A14" s="734"/>
      <c r="B14" s="734"/>
      <c r="C14" s="734"/>
      <c r="D14" s="734"/>
      <c r="E14" s="734"/>
    </row>
    <row r="15" spans="1:179" x14ac:dyDescent="0.3">
      <c r="A15" s="734"/>
      <c r="B15" s="734"/>
      <c r="C15" s="734"/>
      <c r="D15" s="734"/>
      <c r="E15" s="734"/>
    </row>
    <row r="19" spans="2:2" x14ac:dyDescent="0.3">
      <c r="B19" s="17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W12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0.6640625" customWidth="1"/>
    <col min="2" max="4" width="13.6640625" customWidth="1"/>
    <col min="5" max="5" width="15.109375" customWidth="1"/>
  </cols>
  <sheetData>
    <row r="1" spans="1:179" hidden="1" x14ac:dyDescent="0.3"/>
    <row r="2" spans="1:179" x14ac:dyDescent="0.3">
      <c r="B2" s="20"/>
      <c r="C2" s="20"/>
      <c r="D2" s="20"/>
      <c r="E2" s="104"/>
    </row>
    <row r="3" spans="1:179" x14ac:dyDescent="0.3">
      <c r="A3" s="48" t="s">
        <v>428</v>
      </c>
      <c r="B3" s="48"/>
      <c r="C3" s="48"/>
      <c r="D3" s="48"/>
      <c r="E3" s="296" t="s">
        <v>315</v>
      </c>
    </row>
    <row r="4" spans="1:179" x14ac:dyDescent="0.3">
      <c r="A4" s="105" t="s">
        <v>10</v>
      </c>
      <c r="B4" s="106" t="s">
        <v>561</v>
      </c>
      <c r="C4" s="107" t="s">
        <v>562</v>
      </c>
      <c r="D4" s="107" t="s">
        <v>588</v>
      </c>
      <c r="E4" s="726" t="s">
        <v>9</v>
      </c>
    </row>
    <row r="5" spans="1:179" ht="14.1" customHeight="1" x14ac:dyDescent="0.3">
      <c r="A5" s="55" t="s">
        <v>425</v>
      </c>
      <c r="B5" s="108">
        <v>2793.0630000000001</v>
      </c>
      <c r="C5" s="71">
        <v>2924.6489999999999</v>
      </c>
      <c r="D5" s="71">
        <v>3017.951</v>
      </c>
      <c r="E5" s="109">
        <f t="shared" ref="E5:E12" si="0">IF(C5&lt;&gt;0,D5/C5*100,"-")</f>
        <v>103.19019478918668</v>
      </c>
    </row>
    <row r="6" spans="1:179" ht="14.1" customHeight="1" x14ac:dyDescent="0.3">
      <c r="A6" s="55" t="s">
        <v>426</v>
      </c>
      <c r="B6" s="108">
        <f>SUM(B7:B8)</f>
        <v>2581.8184199999996</v>
      </c>
      <c r="C6" s="71">
        <f t="shared" ref="C6:D6" si="1">SUM(C7:C8)</f>
        <v>2365.8272999999999</v>
      </c>
      <c r="D6" s="71">
        <f t="shared" si="1"/>
        <v>2595.85419</v>
      </c>
      <c r="E6" s="109">
        <f t="shared" si="0"/>
        <v>109.72289439723686</v>
      </c>
    </row>
    <row r="7" spans="1:179" ht="14.1" customHeight="1" x14ac:dyDescent="0.3">
      <c r="A7" s="94" t="s">
        <v>132</v>
      </c>
      <c r="B7" s="108">
        <v>1837.8924399999999</v>
      </c>
      <c r="C7" s="71">
        <v>1699.22696</v>
      </c>
      <c r="D7" s="71">
        <v>1921.38789</v>
      </c>
      <c r="E7" s="109">
        <f t="shared" si="0"/>
        <v>113.07423523929965</v>
      </c>
    </row>
    <row r="8" spans="1:179" ht="14.1" customHeight="1" x14ac:dyDescent="0.3">
      <c r="A8" s="94" t="s">
        <v>133</v>
      </c>
      <c r="B8" s="108">
        <v>743.92597999999998</v>
      </c>
      <c r="C8" s="71">
        <v>666.60033999999996</v>
      </c>
      <c r="D8" s="71">
        <v>674.46630000000005</v>
      </c>
      <c r="E8" s="109">
        <f t="shared" si="0"/>
        <v>101.18001139933412</v>
      </c>
    </row>
    <row r="9" spans="1:179" ht="14.1" customHeight="1" x14ac:dyDescent="0.3">
      <c r="A9" s="110" t="s">
        <v>134</v>
      </c>
      <c r="B9" s="111">
        <f>IF(B6&lt;&gt;0,B5*100/B6,0)</f>
        <v>108.18200762546269</v>
      </c>
      <c r="C9" s="529">
        <f>IF(C6&lt;&gt;0,C5*100/C6,0)</f>
        <v>123.62056182207381</v>
      </c>
      <c r="D9" s="529">
        <f>IF(D6&lt;&gt;0,D5*100/D6,0)</f>
        <v>116.26042062092863</v>
      </c>
      <c r="E9" s="112">
        <f>IF(C9&lt;&gt;0,D9/C9*100,"-")</f>
        <v>94.046183666647153</v>
      </c>
    </row>
    <row r="10" spans="1:179" ht="14.1" customHeight="1" x14ac:dyDescent="0.3">
      <c r="A10" s="55" t="s">
        <v>427</v>
      </c>
      <c r="B10" s="108">
        <v>1460.3317299999999</v>
      </c>
      <c r="C10" s="71">
        <v>1557.7844299999999</v>
      </c>
      <c r="D10" s="71">
        <v>1806.7140400000001</v>
      </c>
      <c r="E10" s="109">
        <f t="shared" si="0"/>
        <v>115.97972127632576</v>
      </c>
    </row>
    <row r="11" spans="1:179" ht="14.1" customHeight="1" x14ac:dyDescent="0.3">
      <c r="A11" s="55" t="s">
        <v>135</v>
      </c>
      <c r="B11" s="108">
        <f>B6+B10</f>
        <v>4042.1501499999995</v>
      </c>
      <c r="C11" s="71">
        <f t="shared" ref="C11:D11" si="2">C6+C10</f>
        <v>3923.6117299999996</v>
      </c>
      <c r="D11" s="71">
        <f t="shared" si="2"/>
        <v>4402.5682299999999</v>
      </c>
      <c r="E11" s="109">
        <f t="shared" si="0"/>
        <v>112.20703099488389</v>
      </c>
    </row>
    <row r="12" spans="1:179" s="2" customFormat="1" ht="14.1" customHeight="1" thickBot="1" x14ac:dyDescent="0.35">
      <c r="A12" s="84" t="s">
        <v>136</v>
      </c>
      <c r="B12" s="113">
        <f>IF(B11&lt;&gt;0,B5*100/B11,0)</f>
        <v>69.098447518086388</v>
      </c>
      <c r="C12" s="530">
        <f>IF(C11&lt;&gt;0,C5*100/C11,0)</f>
        <v>74.53971496817806</v>
      </c>
      <c r="D12" s="530">
        <f>IF(D11&lt;&gt;0,D5*100/D11,0)</f>
        <v>68.549783724760118</v>
      </c>
      <c r="E12" s="114">
        <f t="shared" si="0"/>
        <v>91.964107662639819</v>
      </c>
      <c r="F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FW20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18.109375" customWidth="1"/>
    <col min="2" max="2" width="7.33203125" customWidth="1"/>
    <col min="3" max="3" width="5.33203125" customWidth="1"/>
    <col min="4" max="4" width="7.33203125" customWidth="1"/>
    <col min="5" max="5" width="5.33203125" customWidth="1"/>
    <col min="6" max="6" width="7.33203125" customWidth="1"/>
    <col min="7" max="7" width="5.33203125" customWidth="1"/>
    <col min="8" max="8" width="7.33203125" customWidth="1"/>
    <col min="9" max="9" width="5.33203125" customWidth="1"/>
    <col min="10" max="10" width="7.33203125" customWidth="1"/>
    <col min="11" max="11" width="5.33203125" customWidth="1"/>
    <col min="12" max="12" width="7.33203125" customWidth="1"/>
    <col min="13" max="13" width="5.33203125" customWidth="1"/>
    <col min="14" max="14" width="6.33203125" customWidth="1"/>
  </cols>
  <sheetData>
    <row r="1" spans="1:14" ht="14.4" hidden="1" customHeight="1" x14ac:dyDescent="0.3"/>
    <row r="2" spans="1:14" x14ac:dyDescent="0.3">
      <c r="B2" s="25"/>
      <c r="C2" s="25"/>
      <c r="D2" s="25"/>
      <c r="E2" s="25"/>
      <c r="F2" s="25"/>
      <c r="G2" s="25"/>
      <c r="H2" s="25"/>
      <c r="I2" s="25"/>
    </row>
    <row r="3" spans="1:14" x14ac:dyDescent="0.3">
      <c r="A3" s="87" t="s">
        <v>307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96" t="s">
        <v>315</v>
      </c>
    </row>
    <row r="4" spans="1:14" ht="15" customHeight="1" x14ac:dyDescent="0.3">
      <c r="A4" s="735" t="s">
        <v>10</v>
      </c>
      <c r="B4" s="746" t="s">
        <v>562</v>
      </c>
      <c r="C4" s="758"/>
      <c r="D4" s="758"/>
      <c r="E4" s="758"/>
      <c r="F4" s="758"/>
      <c r="G4" s="758"/>
      <c r="H4" s="746" t="s">
        <v>588</v>
      </c>
      <c r="I4" s="758"/>
      <c r="J4" s="758"/>
      <c r="K4" s="758"/>
      <c r="L4" s="758"/>
      <c r="M4" s="759"/>
      <c r="N4" s="755" t="s">
        <v>9</v>
      </c>
    </row>
    <row r="5" spans="1:14" ht="96" x14ac:dyDescent="0.3">
      <c r="A5" s="757"/>
      <c r="B5" s="115" t="s">
        <v>566</v>
      </c>
      <c r="C5" s="116" t="s">
        <v>3</v>
      </c>
      <c r="D5" s="116" t="s">
        <v>569</v>
      </c>
      <c r="E5" s="116" t="s">
        <v>3</v>
      </c>
      <c r="F5" s="116" t="s">
        <v>16</v>
      </c>
      <c r="G5" s="116" t="s">
        <v>3</v>
      </c>
      <c r="H5" s="115" t="s">
        <v>566</v>
      </c>
      <c r="I5" s="116" t="s">
        <v>3</v>
      </c>
      <c r="J5" s="116" t="s">
        <v>569</v>
      </c>
      <c r="K5" s="116" t="s">
        <v>3</v>
      </c>
      <c r="L5" s="116" t="s">
        <v>16</v>
      </c>
      <c r="M5" s="117" t="s">
        <v>3</v>
      </c>
      <c r="N5" s="756"/>
    </row>
    <row r="6" spans="1:14" ht="12" customHeight="1" x14ac:dyDescent="0.3">
      <c r="A6" s="362" t="s">
        <v>17</v>
      </c>
      <c r="B6" s="363"/>
      <c r="C6" s="364"/>
      <c r="D6" s="365"/>
      <c r="E6" s="364"/>
      <c r="F6" s="366"/>
      <c r="G6" s="364"/>
      <c r="H6" s="363"/>
      <c r="I6" s="364"/>
      <c r="J6" s="365"/>
      <c r="K6" s="364"/>
      <c r="L6" s="366"/>
      <c r="M6" s="367"/>
      <c r="N6" s="366"/>
    </row>
    <row r="7" spans="1:14" ht="12" customHeight="1" x14ac:dyDescent="0.3">
      <c r="A7" s="130" t="s">
        <v>325</v>
      </c>
      <c r="B7" s="368">
        <v>963.23400000000004</v>
      </c>
      <c r="C7" s="369">
        <f>IF(B$20&gt;0,B7*100/B$20,0)</f>
        <v>12.682208143080596</v>
      </c>
      <c r="D7" s="370">
        <v>12.226000000000001</v>
      </c>
      <c r="E7" s="369">
        <f>IF(D$20&gt;0,D7*100/D$20,0)</f>
        <v>1.0347740272226991</v>
      </c>
      <c r="F7" s="131">
        <f>B7+D7</f>
        <v>975.46</v>
      </c>
      <c r="G7" s="369">
        <f>IF(F$20&gt;0,F7*100/F$20,0)</f>
        <v>11.11423302266895</v>
      </c>
      <c r="H7" s="368">
        <v>777.69100000000003</v>
      </c>
      <c r="I7" s="369">
        <f>IF(H$20&gt;0,H7*100/H$20,0)</f>
        <v>10.047548438283865</v>
      </c>
      <c r="J7" s="370">
        <v>13.433</v>
      </c>
      <c r="K7" s="369">
        <f>IF(J$20&gt;0,J7*100/J$20,0)</f>
        <v>1.1183141952558435</v>
      </c>
      <c r="L7" s="131">
        <f>H7+J7</f>
        <v>791.12400000000002</v>
      </c>
      <c r="M7" s="371">
        <f>IF(L$20&gt;0,L7*100/L$20,0)</f>
        <v>8.8479850222954415</v>
      </c>
      <c r="N7" s="372">
        <f>IF(F7&lt;&gt;0,L7*100/F7,0)</f>
        <v>81.102659258196141</v>
      </c>
    </row>
    <row r="8" spans="1:14" ht="12" customHeight="1" x14ac:dyDescent="0.3">
      <c r="A8" s="130" t="s">
        <v>326</v>
      </c>
      <c r="B8" s="368">
        <v>1621.8789999999999</v>
      </c>
      <c r="C8" s="369">
        <f>IF(B$20&gt;0,B8*100/B$20,0)</f>
        <v>21.354112355763405</v>
      </c>
      <c r="D8" s="370">
        <v>460.76299999999998</v>
      </c>
      <c r="E8" s="369">
        <f t="shared" ref="E8:E11" si="0">IF(D$20&gt;0,D8*100/D$20,0)</f>
        <v>38.997675863341435</v>
      </c>
      <c r="F8" s="131">
        <f t="shared" ref="F8:F11" si="1">B8+D8</f>
        <v>2082.6419999999998</v>
      </c>
      <c r="G8" s="369">
        <f t="shared" ref="G8:G11" si="2">IF(F$20&gt;0,F8*100/F$20,0)</f>
        <v>23.72928514833751</v>
      </c>
      <c r="H8" s="368">
        <v>1462.5219999999999</v>
      </c>
      <c r="I8" s="369">
        <f>IF(H$20&gt;0,H8*100/H$20,0)</f>
        <v>18.895371859846378</v>
      </c>
      <c r="J8" s="370">
        <v>455.03800000000001</v>
      </c>
      <c r="K8" s="369">
        <f>IF(J$20&gt;0,J8*100/J$20,0)</f>
        <v>37.882487514392068</v>
      </c>
      <c r="L8" s="131">
        <f t="shared" ref="L8:L11" si="3">H8+J8</f>
        <v>1917.56</v>
      </c>
      <c r="M8" s="371">
        <f t="shared" ref="M8:M11" si="4">IF(L$20&gt;0,L8*100/L$20,0)</f>
        <v>21.446122427524436</v>
      </c>
      <c r="N8" s="372">
        <f>IF(F8&lt;&gt;0,L8*100/F8,0)</f>
        <v>92.073433648221837</v>
      </c>
    </row>
    <row r="9" spans="1:14" ht="12" customHeight="1" x14ac:dyDescent="0.3">
      <c r="A9" s="130" t="s">
        <v>410</v>
      </c>
      <c r="B9" s="368">
        <v>171.322</v>
      </c>
      <c r="C9" s="369">
        <f t="shared" ref="C9:C11" si="5">IF(B$20&gt;0,B9*100/B$20,0)</f>
        <v>2.2556733498701806</v>
      </c>
      <c r="D9" s="370">
        <v>15.712</v>
      </c>
      <c r="E9" s="369">
        <f t="shared" si="0"/>
        <v>1.3298191980797518</v>
      </c>
      <c r="F9" s="131">
        <f t="shared" si="1"/>
        <v>187.03399999999999</v>
      </c>
      <c r="G9" s="369">
        <f t="shared" si="2"/>
        <v>2.1310350595225476</v>
      </c>
      <c r="H9" s="368">
        <v>42.917999999999999</v>
      </c>
      <c r="I9" s="369">
        <f t="shared" ref="I9:K11" si="6">IF(H$20&gt;0,H9*100/H$20,0)</f>
        <v>0.55448845862208362</v>
      </c>
      <c r="J9" s="370">
        <v>8.8949999999999996</v>
      </c>
      <c r="K9" s="369">
        <f t="shared" si="6"/>
        <v>0.74051997072885645</v>
      </c>
      <c r="L9" s="131">
        <f t="shared" si="3"/>
        <v>51.813000000000002</v>
      </c>
      <c r="M9" s="371">
        <f t="shared" si="4"/>
        <v>0.57948014212714272</v>
      </c>
      <c r="N9" s="372">
        <f>IF(F9&lt;&gt;0,L9*100/F9,0)</f>
        <v>27.702449821957508</v>
      </c>
    </row>
    <row r="10" spans="1:14" ht="12" customHeight="1" x14ac:dyDescent="0.3">
      <c r="A10" s="130" t="s">
        <v>429</v>
      </c>
      <c r="B10" s="373">
        <v>2511.8159999999998</v>
      </c>
      <c r="C10" s="369">
        <f t="shared" si="5"/>
        <v>33.071271704611881</v>
      </c>
      <c r="D10" s="131">
        <v>482.93400000000003</v>
      </c>
      <c r="E10" s="369">
        <f t="shared" si="0"/>
        <v>40.874166535479048</v>
      </c>
      <c r="F10" s="374">
        <f t="shared" si="1"/>
        <v>2994.75</v>
      </c>
      <c r="G10" s="369">
        <f t="shared" si="2"/>
        <v>34.121695758552725</v>
      </c>
      <c r="H10" s="373">
        <v>2817.8330000000001</v>
      </c>
      <c r="I10" s="369">
        <f t="shared" si="6"/>
        <v>36.405607829452485</v>
      </c>
      <c r="J10" s="131">
        <v>516.67200000000003</v>
      </c>
      <c r="K10" s="369">
        <f t="shared" si="6"/>
        <v>43.013595763509812</v>
      </c>
      <c r="L10" s="374">
        <f t="shared" si="3"/>
        <v>3334.5050000000001</v>
      </c>
      <c r="M10" s="371">
        <f t="shared" si="4"/>
        <v>37.293332393871573</v>
      </c>
      <c r="N10" s="372">
        <f t="shared" ref="N10:N20" si="7">IF(F10&lt;&gt;0,L10*100/F10,0)</f>
        <v>111.34502045245847</v>
      </c>
    </row>
    <row r="11" spans="1:14" ht="12" customHeight="1" x14ac:dyDescent="0.3">
      <c r="A11" s="130" t="s">
        <v>153</v>
      </c>
      <c r="B11" s="368">
        <v>303.28199999999998</v>
      </c>
      <c r="C11" s="369">
        <f t="shared" si="5"/>
        <v>3.9930956029892717</v>
      </c>
      <c r="D11" s="370">
        <v>12.34</v>
      </c>
      <c r="E11" s="369">
        <f t="shared" si="0"/>
        <v>1.0444226644796422</v>
      </c>
      <c r="F11" s="131">
        <f t="shared" si="1"/>
        <v>315.62199999999996</v>
      </c>
      <c r="G11" s="369">
        <f t="shared" si="2"/>
        <v>3.5961458748496291</v>
      </c>
      <c r="H11" s="368">
        <v>237.916</v>
      </c>
      <c r="I11" s="369">
        <f t="shared" si="6"/>
        <v>3.0738076359926287</v>
      </c>
      <c r="J11" s="370">
        <v>10.638999999999999</v>
      </c>
      <c r="K11" s="369">
        <f t="shared" si="6"/>
        <v>0.88571017072336178</v>
      </c>
      <c r="L11" s="131">
        <f t="shared" si="3"/>
        <v>248.55500000000001</v>
      </c>
      <c r="M11" s="371">
        <f t="shared" si="4"/>
        <v>2.7798561505107204</v>
      </c>
      <c r="N11" s="372">
        <f t="shared" si="7"/>
        <v>78.750847532808237</v>
      </c>
    </row>
    <row r="12" spans="1:14" ht="12" customHeight="1" x14ac:dyDescent="0.3">
      <c r="A12" s="375" t="s">
        <v>16</v>
      </c>
      <c r="B12" s="376">
        <f t="shared" ref="B12:M12" si="8">SUM(B7:B11)</f>
        <v>5571.5330000000004</v>
      </c>
      <c r="C12" s="377">
        <f t="shared" si="8"/>
        <v>73.35636115631533</v>
      </c>
      <c r="D12" s="378">
        <f t="shared" si="8"/>
        <v>983.97500000000002</v>
      </c>
      <c r="E12" s="377">
        <f t="shared" si="8"/>
        <v>83.280858288602573</v>
      </c>
      <c r="F12" s="378">
        <f t="shared" si="8"/>
        <v>6555.5080000000007</v>
      </c>
      <c r="G12" s="377">
        <f>SUM(G7:G11)</f>
        <v>74.692394863931355</v>
      </c>
      <c r="H12" s="376">
        <f t="shared" si="8"/>
        <v>5338.88</v>
      </c>
      <c r="I12" s="377">
        <f>SUM(I7:I11)</f>
        <v>68.976824222197436</v>
      </c>
      <c r="J12" s="378">
        <f t="shared" si="8"/>
        <v>1004.677</v>
      </c>
      <c r="K12" s="377">
        <f t="shared" si="8"/>
        <v>83.640627614609926</v>
      </c>
      <c r="L12" s="378">
        <f t="shared" si="8"/>
        <v>6343.5570000000007</v>
      </c>
      <c r="M12" s="379">
        <f t="shared" si="8"/>
        <v>70.946776136329319</v>
      </c>
      <c r="N12" s="380">
        <f t="shared" si="7"/>
        <v>96.766825698328802</v>
      </c>
    </row>
    <row r="13" spans="1:14" ht="12" customHeight="1" x14ac:dyDescent="0.3">
      <c r="A13" s="362" t="s">
        <v>18</v>
      </c>
      <c r="B13" s="381"/>
      <c r="C13" s="369"/>
      <c r="D13" s="382"/>
      <c r="E13" s="369"/>
      <c r="F13" s="131"/>
      <c r="G13" s="369"/>
      <c r="H13" s="381"/>
      <c r="I13" s="369"/>
      <c r="J13" s="382"/>
      <c r="K13" s="369"/>
      <c r="L13" s="131"/>
      <c r="M13" s="371"/>
      <c r="N13" s="372">
        <f t="shared" si="7"/>
        <v>0</v>
      </c>
    </row>
    <row r="14" spans="1:14" ht="12" customHeight="1" x14ac:dyDescent="0.3">
      <c r="A14" s="130" t="s">
        <v>325</v>
      </c>
      <c r="B14" s="368">
        <v>32.506999999999998</v>
      </c>
      <c r="C14" s="369">
        <f>IF(B$20&gt;0,B14*100/B$20,0)</f>
        <v>0.42799625024357618</v>
      </c>
      <c r="D14" s="370">
        <v>0</v>
      </c>
      <c r="E14" s="369">
        <f>IF(D$20&gt;0,D14*100/D$20,0)</f>
        <v>0</v>
      </c>
      <c r="F14" s="131">
        <f t="shared" ref="F14:F18" si="9">B14+D14</f>
        <v>32.506999999999998</v>
      </c>
      <c r="G14" s="369">
        <f>IF(F$20&gt;0,F14*100/F$20,0)</f>
        <v>0.37037948544061217</v>
      </c>
      <c r="H14" s="368">
        <v>83.713999999999999</v>
      </c>
      <c r="I14" s="369">
        <f>IF(H$20&gt;0,H14*100/H$20,0)</f>
        <v>1.0815612755740973</v>
      </c>
      <c r="J14" s="370">
        <v>0</v>
      </c>
      <c r="K14" s="369">
        <f>IF(J$20&gt;0,J14*100/J$20,0)</f>
        <v>0</v>
      </c>
      <c r="L14" s="131">
        <f t="shared" ref="L14:L18" si="10">H14+J14</f>
        <v>83.713999999999999</v>
      </c>
      <c r="M14" s="371">
        <f>IF(L$20&gt;0,L14*100/L$20,0)</f>
        <v>0.93626311192232869</v>
      </c>
      <c r="N14" s="372">
        <f t="shared" si="7"/>
        <v>257.52607130771833</v>
      </c>
    </row>
    <row r="15" spans="1:14" ht="12" customHeight="1" x14ac:dyDescent="0.3">
      <c r="A15" s="130" t="s">
        <v>326</v>
      </c>
      <c r="B15" s="368">
        <v>189.92500000000001</v>
      </c>
      <c r="C15" s="369">
        <f t="shared" ref="C15:E18" si="11">IF(B$20&gt;0,B15*100/B$20,0)</f>
        <v>2.5006056488605903</v>
      </c>
      <c r="D15" s="370">
        <v>72.468000000000004</v>
      </c>
      <c r="E15" s="369">
        <f t="shared" si="11"/>
        <v>6.1334863573347409</v>
      </c>
      <c r="F15" s="131">
        <f t="shared" si="9"/>
        <v>262.39300000000003</v>
      </c>
      <c r="G15" s="369">
        <f t="shared" ref="G15:G18" si="12">IF(F$20&gt;0,F15*100/F$20,0)</f>
        <v>2.9896632824689626</v>
      </c>
      <c r="H15" s="368">
        <v>276.12400000000002</v>
      </c>
      <c r="I15" s="369">
        <f t="shared" ref="I15" si="13">IF(H$20&gt;0,H15*100/H$20,0)</f>
        <v>3.5674442226703071</v>
      </c>
      <c r="J15" s="370">
        <v>67.673000000000002</v>
      </c>
      <c r="K15" s="369">
        <f t="shared" ref="K15" si="14">IF(J$20&gt;0,J15*100/J$20,0)</f>
        <v>5.6338626171033059</v>
      </c>
      <c r="L15" s="131">
        <f t="shared" si="10"/>
        <v>343.79700000000003</v>
      </c>
      <c r="M15" s="371">
        <f t="shared" ref="M15:M18" si="15">IF(L$20&gt;0,L15*100/L$20,0)</f>
        <v>3.8450492043094453</v>
      </c>
      <c r="N15" s="372">
        <f t="shared" si="7"/>
        <v>131.02369346743245</v>
      </c>
    </row>
    <row r="16" spans="1:14" ht="12" customHeight="1" x14ac:dyDescent="0.3">
      <c r="A16" s="130" t="s">
        <v>410</v>
      </c>
      <c r="B16" s="368">
        <v>60.790999999999997</v>
      </c>
      <c r="C16" s="369">
        <f t="shared" si="11"/>
        <v>0.80039130182905949</v>
      </c>
      <c r="D16" s="370">
        <v>5.2149999999999999</v>
      </c>
      <c r="E16" s="369">
        <f t="shared" si="11"/>
        <v>0.44138283592069155</v>
      </c>
      <c r="F16" s="131">
        <f t="shared" si="9"/>
        <v>66.006</v>
      </c>
      <c r="G16" s="369">
        <f t="shared" si="12"/>
        <v>0.7520616579811441</v>
      </c>
      <c r="H16" s="368">
        <v>88.778999999999996</v>
      </c>
      <c r="I16" s="369">
        <f t="shared" ref="I16" si="16">IF(H$20&gt;0,H16*100/H$20,0)</f>
        <v>1.1469996474208948</v>
      </c>
      <c r="J16" s="370">
        <v>12.55</v>
      </c>
      <c r="K16" s="369">
        <f t="shared" ref="K16" si="17">IF(J$20&gt;0,J16*100/J$20,0)</f>
        <v>1.0448033313824787</v>
      </c>
      <c r="L16" s="131">
        <f t="shared" si="10"/>
        <v>101.32899999999999</v>
      </c>
      <c r="M16" s="371">
        <f t="shared" si="15"/>
        <v>1.1332704788682615</v>
      </c>
      <c r="N16" s="372">
        <f t="shared" si="7"/>
        <v>153.51483198497107</v>
      </c>
    </row>
    <row r="17" spans="1:179" ht="12" customHeight="1" x14ac:dyDescent="0.3">
      <c r="A17" s="130" t="s">
        <v>429</v>
      </c>
      <c r="B17" s="368">
        <v>1572.89</v>
      </c>
      <c r="C17" s="369">
        <f t="shared" si="11"/>
        <v>20.70910948551446</v>
      </c>
      <c r="D17" s="370">
        <v>113.587</v>
      </c>
      <c r="E17" s="369">
        <f t="shared" si="11"/>
        <v>9.6136821061790201</v>
      </c>
      <c r="F17" s="131">
        <f t="shared" si="9"/>
        <v>1686.4770000000001</v>
      </c>
      <c r="G17" s="369">
        <f t="shared" si="12"/>
        <v>19.215445395374147</v>
      </c>
      <c r="H17" s="368">
        <v>1770.0820000000001</v>
      </c>
      <c r="I17" s="369">
        <f t="shared" ref="I17" si="18">IF(H$20&gt;0,H17*100/H$20,0)</f>
        <v>22.868960338661985</v>
      </c>
      <c r="J17" s="370">
        <v>115.386</v>
      </c>
      <c r="K17" s="369">
        <f t="shared" ref="K17" si="19">IF(J$20&gt;0,J17*100/J$20,0)</f>
        <v>9.6060300553704145</v>
      </c>
      <c r="L17" s="131">
        <f t="shared" si="10"/>
        <v>1885.4680000000001</v>
      </c>
      <c r="M17" s="371">
        <f t="shared" si="15"/>
        <v>21.087203300642301</v>
      </c>
      <c r="N17" s="372">
        <f t="shared" si="7"/>
        <v>111.79921220390199</v>
      </c>
    </row>
    <row r="18" spans="1:179" ht="12" customHeight="1" x14ac:dyDescent="0.3">
      <c r="A18" s="130" t="s">
        <v>153</v>
      </c>
      <c r="B18" s="368">
        <v>167.51400000000001</v>
      </c>
      <c r="C18" s="369">
        <f t="shared" si="11"/>
        <v>2.2055361572369776</v>
      </c>
      <c r="D18" s="370">
        <v>6.2690000000000001</v>
      </c>
      <c r="E18" s="369">
        <f t="shared" si="11"/>
        <v>0.53059041196295598</v>
      </c>
      <c r="F18" s="131">
        <f t="shared" si="9"/>
        <v>173.78300000000002</v>
      </c>
      <c r="G18" s="369">
        <f t="shared" si="12"/>
        <v>1.980055314803763</v>
      </c>
      <c r="H18" s="368">
        <v>182.52799999999999</v>
      </c>
      <c r="I18" s="369">
        <f t="shared" ref="I18" si="20">IF(H$20&gt;0,H18*100/H$20,0)</f>
        <v>2.3582102934752709</v>
      </c>
      <c r="J18" s="370">
        <v>0.89700000000000002</v>
      </c>
      <c r="K18" s="369">
        <f t="shared" ref="K18" si="21">IF(J$20&gt;0,J18*100/J$20,0)</f>
        <v>7.4676381533871197E-2</v>
      </c>
      <c r="L18" s="131">
        <f t="shared" si="10"/>
        <v>183.42499999999998</v>
      </c>
      <c r="M18" s="371">
        <f t="shared" si="15"/>
        <v>2.0514377679283413</v>
      </c>
      <c r="N18" s="372">
        <f t="shared" si="7"/>
        <v>105.54829874038312</v>
      </c>
    </row>
    <row r="19" spans="1:179" ht="12" customHeight="1" x14ac:dyDescent="0.3">
      <c r="A19" s="375" t="s">
        <v>16</v>
      </c>
      <c r="B19" s="376">
        <f>SUM(B14:B18)</f>
        <v>2023.627</v>
      </c>
      <c r="C19" s="377">
        <f>SUM(C14:C18)</f>
        <v>26.643638843684663</v>
      </c>
      <c r="D19" s="378">
        <f>SUM(D14:D18)</f>
        <v>197.53900000000002</v>
      </c>
      <c r="E19" s="377">
        <f>SUM(E14:E18)</f>
        <v>16.719141711397405</v>
      </c>
      <c r="F19" s="378">
        <f t="shared" ref="F19:L19" si="22">SUM(F14:F18)</f>
        <v>2221.1660000000002</v>
      </c>
      <c r="G19" s="377">
        <f>SUM(G14:G18)</f>
        <v>25.307605136068631</v>
      </c>
      <c r="H19" s="376">
        <f t="shared" si="22"/>
        <v>2401.2269999999999</v>
      </c>
      <c r="I19" s="377">
        <f t="shared" si="22"/>
        <v>31.023175777802553</v>
      </c>
      <c r="J19" s="378">
        <f t="shared" si="22"/>
        <v>196.50599999999997</v>
      </c>
      <c r="K19" s="377">
        <f>SUM(K14:K18)</f>
        <v>16.359372385390067</v>
      </c>
      <c r="L19" s="378">
        <f t="shared" si="22"/>
        <v>2597.7330000000002</v>
      </c>
      <c r="M19" s="379">
        <f>SUM(M14:M18)</f>
        <v>29.053223863670677</v>
      </c>
      <c r="N19" s="380">
        <f t="shared" si="7"/>
        <v>116.95357303326271</v>
      </c>
    </row>
    <row r="20" spans="1:179" s="2" customFormat="1" ht="12" customHeight="1" thickBot="1" x14ac:dyDescent="0.35">
      <c r="A20" s="383" t="s">
        <v>97</v>
      </c>
      <c r="B20" s="384">
        <f>B19+B12</f>
        <v>7595.16</v>
      </c>
      <c r="C20" s="385">
        <f>C19+C12</f>
        <v>100</v>
      </c>
      <c r="D20" s="386">
        <f>D19+D12</f>
        <v>1181.5140000000001</v>
      </c>
      <c r="E20" s="385">
        <f>E19+E12</f>
        <v>99.999999999999972</v>
      </c>
      <c r="F20" s="386">
        <f t="shared" ref="F20:L20" si="23">F19+F12</f>
        <v>8776.6740000000009</v>
      </c>
      <c r="G20" s="385">
        <f>G19+G12</f>
        <v>99.999999999999986</v>
      </c>
      <c r="H20" s="384">
        <f t="shared" si="23"/>
        <v>7740.107</v>
      </c>
      <c r="I20" s="385">
        <f t="shared" si="23"/>
        <v>99.999999999999986</v>
      </c>
      <c r="J20" s="386">
        <f t="shared" si="23"/>
        <v>1201.183</v>
      </c>
      <c r="K20" s="385">
        <f t="shared" si="23"/>
        <v>100</v>
      </c>
      <c r="L20" s="386">
        <f t="shared" si="23"/>
        <v>8941.2900000000009</v>
      </c>
      <c r="M20" s="387">
        <f>M19+M12</f>
        <v>100</v>
      </c>
      <c r="N20" s="388">
        <f t="shared" si="7"/>
        <v>101.87560800366973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5" orientation="portrait" verticalDpi="0" r:id="rId3"/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FT15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5.88671875" style="320" bestFit="1" customWidth="1"/>
    <col min="2" max="2" width="9.109375" style="320"/>
    <col min="3" max="3" width="5" style="320" bestFit="1" customWidth="1"/>
    <col min="4" max="4" width="9.109375" style="320"/>
    <col min="5" max="5" width="5" style="320" bestFit="1" customWidth="1"/>
    <col min="6" max="6" width="9.109375" style="320"/>
    <col min="7" max="7" width="5" style="320" bestFit="1" customWidth="1"/>
    <col min="8" max="8" width="10.5546875" style="320" customWidth="1"/>
    <col min="9" max="10" width="9.109375" customWidth="1"/>
  </cols>
  <sheetData>
    <row r="1" spans="1:176" ht="14.4" hidden="1" customHeight="1" x14ac:dyDescent="0.3"/>
    <row r="3" spans="1:176" x14ac:dyDescent="0.3">
      <c r="A3" s="48" t="s">
        <v>259</v>
      </c>
      <c r="B3" s="48"/>
      <c r="C3" s="48"/>
      <c r="D3" s="48"/>
      <c r="E3" s="48"/>
      <c r="F3" s="48"/>
      <c r="G3" s="48"/>
      <c r="H3" s="296" t="s">
        <v>315</v>
      </c>
    </row>
    <row r="4" spans="1:176" x14ac:dyDescent="0.3">
      <c r="A4" s="735" t="s">
        <v>10</v>
      </c>
      <c r="B4" s="760" t="s">
        <v>561</v>
      </c>
      <c r="C4" s="761"/>
      <c r="D4" s="760" t="s">
        <v>562</v>
      </c>
      <c r="E4" s="761"/>
      <c r="F4" s="760" t="s">
        <v>588</v>
      </c>
      <c r="G4" s="761"/>
      <c r="H4" s="752" t="s">
        <v>9</v>
      </c>
    </row>
    <row r="5" spans="1:176" x14ac:dyDescent="0.3">
      <c r="A5" s="736"/>
      <c r="B5" s="728" t="s">
        <v>2</v>
      </c>
      <c r="C5" s="729" t="s">
        <v>3</v>
      </c>
      <c r="D5" s="728" t="s">
        <v>2</v>
      </c>
      <c r="E5" s="729" t="s">
        <v>3</v>
      </c>
      <c r="F5" s="728" t="s">
        <v>2</v>
      </c>
      <c r="G5" s="729" t="s">
        <v>3</v>
      </c>
      <c r="H5" s="754"/>
    </row>
    <row r="6" spans="1:176" s="10" customFormat="1" ht="12" customHeight="1" x14ac:dyDescent="0.3">
      <c r="A6" s="631" t="s">
        <v>435</v>
      </c>
      <c r="B6" s="632">
        <f t="shared" ref="B6:G6" si="0">B7+B8+B9+B12</f>
        <v>1183.7</v>
      </c>
      <c r="C6" s="533">
        <f t="shared" si="0"/>
        <v>100</v>
      </c>
      <c r="D6" s="632">
        <f t="shared" si="0"/>
        <v>1277.2350000000001</v>
      </c>
      <c r="E6" s="533">
        <f t="shared" si="0"/>
        <v>99.999999999999986</v>
      </c>
      <c r="F6" s="632">
        <f t="shared" si="0"/>
        <v>1393.174</v>
      </c>
      <c r="G6" s="533">
        <f t="shared" si="0"/>
        <v>100.00000000000001</v>
      </c>
      <c r="H6" s="633">
        <f>IF(D6&lt;&gt;0,F6/D6*100,"-")</f>
        <v>109.07734285389922</v>
      </c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</row>
    <row r="7" spans="1:176" s="390" customFormat="1" ht="12" customHeight="1" x14ac:dyDescent="0.3">
      <c r="A7" s="534" t="s">
        <v>436</v>
      </c>
      <c r="B7" s="301">
        <v>628.26</v>
      </c>
      <c r="C7" s="389">
        <f>IF(B$6&lt;&gt;0,B7*100/B$6,0)</f>
        <v>53.075948297710568</v>
      </c>
      <c r="D7" s="301">
        <v>634.23199999999997</v>
      </c>
      <c r="E7" s="389">
        <f t="shared" ref="E7:E12" si="1">IF(D$6&lt;&gt;0,D7*100/D$6,0)</f>
        <v>49.656641103634016</v>
      </c>
      <c r="F7" s="301">
        <v>660.00300000000004</v>
      </c>
      <c r="G7" s="389">
        <f t="shared" ref="G7:G12" si="2">IF(F$6&lt;&gt;0,F7*100/F$6,0)</f>
        <v>47.374053779355634</v>
      </c>
      <c r="H7" s="5">
        <f>IF(D7&lt;&gt;0,F7/D7*100,"-")</f>
        <v>104.06333959812815</v>
      </c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</row>
    <row r="8" spans="1:176" s="390" customFormat="1" ht="12" customHeight="1" x14ac:dyDescent="0.3">
      <c r="A8" s="534" t="s">
        <v>437</v>
      </c>
      <c r="B8" s="301">
        <v>5.62</v>
      </c>
      <c r="C8" s="389">
        <f t="shared" ref="C8:C11" si="3">IF($B$6&lt;&gt;0,B8*100/$B$6,0)</f>
        <v>0.47478246177240851</v>
      </c>
      <c r="D8" s="301">
        <v>0.75800000000000001</v>
      </c>
      <c r="E8" s="389">
        <f t="shared" si="1"/>
        <v>5.9346948682114091E-2</v>
      </c>
      <c r="F8" s="301">
        <v>0.876</v>
      </c>
      <c r="G8" s="389">
        <f t="shared" si="2"/>
        <v>6.2878003752582234E-2</v>
      </c>
      <c r="H8" s="5">
        <f t="shared" ref="H8:H12" si="4">IF(D8&lt;&gt;0,F8/D8*100,"-")</f>
        <v>115.56728232189974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  <row r="9" spans="1:176" s="390" customFormat="1" ht="12" customHeight="1" x14ac:dyDescent="0.3">
      <c r="A9" s="534" t="s">
        <v>438</v>
      </c>
      <c r="B9" s="301">
        <v>549.35699999999997</v>
      </c>
      <c r="C9" s="389">
        <f t="shared" si="3"/>
        <v>46.410154599983102</v>
      </c>
      <c r="D9" s="301">
        <v>641.54700000000003</v>
      </c>
      <c r="E9" s="389">
        <f t="shared" si="1"/>
        <v>50.229362646654685</v>
      </c>
      <c r="F9" s="301">
        <v>731.96600000000001</v>
      </c>
      <c r="G9" s="389">
        <f t="shared" si="2"/>
        <v>52.539453076213029</v>
      </c>
      <c r="H9" s="5">
        <f t="shared" si="4"/>
        <v>114.09390114831805</v>
      </c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</row>
    <row r="10" spans="1:176" s="390" customFormat="1" ht="12" customHeight="1" x14ac:dyDescent="0.3">
      <c r="A10" s="534" t="s">
        <v>439</v>
      </c>
      <c r="B10" s="301">
        <v>191.34399999999999</v>
      </c>
      <c r="C10" s="389">
        <f t="shared" si="3"/>
        <v>16.164906648644081</v>
      </c>
      <c r="D10" s="301">
        <v>204.51900000000001</v>
      </c>
      <c r="E10" s="389">
        <f t="shared" si="1"/>
        <v>16.012636672186403</v>
      </c>
      <c r="F10" s="301">
        <v>238.30699999999999</v>
      </c>
      <c r="G10" s="389">
        <f t="shared" si="2"/>
        <v>17.105329269710744</v>
      </c>
      <c r="H10" s="5">
        <f t="shared" si="4"/>
        <v>116.52071445684753</v>
      </c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</row>
    <row r="11" spans="1:176" s="390" customFormat="1" ht="12" customHeight="1" x14ac:dyDescent="0.3">
      <c r="A11" s="534" t="s">
        <v>440</v>
      </c>
      <c r="B11" s="301">
        <v>358.01299999999998</v>
      </c>
      <c r="C11" s="389">
        <f t="shared" si="3"/>
        <v>30.245247951339017</v>
      </c>
      <c r="D11" s="301">
        <v>437.02800000000002</v>
      </c>
      <c r="E11" s="389">
        <f t="shared" si="1"/>
        <v>34.216725974468282</v>
      </c>
      <c r="F11" s="301">
        <v>493.65899999999999</v>
      </c>
      <c r="G11" s="389">
        <f t="shared" si="2"/>
        <v>35.434123806502278</v>
      </c>
      <c r="H11" s="5">
        <f t="shared" si="4"/>
        <v>112.95820862736483</v>
      </c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</row>
    <row r="12" spans="1:176" s="390" customFormat="1" ht="12" customHeight="1" x14ac:dyDescent="0.3">
      <c r="A12" s="534" t="s">
        <v>441</v>
      </c>
      <c r="B12" s="301">
        <v>0.46300000000000002</v>
      </c>
      <c r="C12" s="389">
        <f>IF($B$6&lt;&gt;0,B12*100/$B$6,0)</f>
        <v>3.9114640533919068E-2</v>
      </c>
      <c r="D12" s="301">
        <v>0.69799999999999995</v>
      </c>
      <c r="E12" s="389">
        <f t="shared" si="1"/>
        <v>5.4649301029176298E-2</v>
      </c>
      <c r="F12" s="301">
        <v>0.32900000000000001</v>
      </c>
      <c r="G12" s="389">
        <f t="shared" si="2"/>
        <v>2.3615140678766616E-2</v>
      </c>
      <c r="H12" s="5">
        <f t="shared" si="4"/>
        <v>47.134670487106021</v>
      </c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</row>
    <row r="13" spans="1:176" s="390" customFormat="1" ht="12" customHeight="1" x14ac:dyDescent="0.3">
      <c r="A13" s="634" t="s">
        <v>442</v>
      </c>
      <c r="B13" s="635">
        <v>125.542</v>
      </c>
      <c r="C13" s="533"/>
      <c r="D13" s="635">
        <v>128.381</v>
      </c>
      <c r="E13" s="533"/>
      <c r="F13" s="635">
        <v>132.87700000000001</v>
      </c>
      <c r="G13" s="533"/>
      <c r="H13" s="77">
        <f>IF(D13&lt;&gt;0,F13/D13*100,"-")</f>
        <v>103.50207585234577</v>
      </c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</row>
    <row r="14" spans="1:176" s="390" customFormat="1" ht="12" customHeight="1" x14ac:dyDescent="0.3">
      <c r="A14" s="634" t="s">
        <v>443</v>
      </c>
      <c r="B14" s="635">
        <v>88.558999999999997</v>
      </c>
      <c r="C14" s="533"/>
      <c r="D14" s="635">
        <v>82.733999999999995</v>
      </c>
      <c r="E14" s="533"/>
      <c r="F14" s="635">
        <v>90.129000000000005</v>
      </c>
      <c r="G14" s="533"/>
      <c r="H14" s="77">
        <f>IF(D14&lt;&gt;0,F14/D14*100,"-")</f>
        <v>108.93828413953153</v>
      </c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</row>
    <row r="15" spans="1:176" s="11" customFormat="1" ht="12" customHeight="1" thickBot="1" x14ac:dyDescent="0.35">
      <c r="A15" s="640" t="s">
        <v>537</v>
      </c>
      <c r="B15" s="637">
        <f>+B6+B13+B14</f>
        <v>1397.8009999999999</v>
      </c>
      <c r="C15" s="638"/>
      <c r="D15" s="637">
        <f>+D6+D13+D14</f>
        <v>1488.3500000000001</v>
      </c>
      <c r="E15" s="638"/>
      <c r="F15" s="637">
        <f>+F6+F13+F14</f>
        <v>1616.1799999999998</v>
      </c>
      <c r="G15" s="638"/>
      <c r="H15" s="639">
        <f>IF(D15&lt;&gt;0,F15/D15*100,"-")</f>
        <v>108.58870561359892</v>
      </c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H26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3.6640625" customWidth="1"/>
    <col min="2" max="2" width="8.6640625" customWidth="1"/>
    <col min="3" max="3" width="6.33203125" bestFit="1" customWidth="1"/>
    <col min="4" max="4" width="8.6640625" customWidth="1"/>
    <col min="5" max="5" width="6.33203125" bestFit="1" customWidth="1"/>
    <col min="6" max="6" width="8.6640625" customWidth="1"/>
    <col min="7" max="7" width="6.33203125" bestFit="1" customWidth="1"/>
    <col min="8" max="8" width="7.33203125" customWidth="1"/>
  </cols>
  <sheetData>
    <row r="1" spans="1:8" ht="14.4" hidden="1" customHeight="1" x14ac:dyDescent="0.3"/>
    <row r="3" spans="1:8" x14ac:dyDescent="0.3">
      <c r="A3" s="48" t="s">
        <v>260</v>
      </c>
      <c r="B3" s="48"/>
      <c r="C3" s="48"/>
      <c r="D3" s="48"/>
      <c r="E3" s="48"/>
      <c r="F3" s="48"/>
      <c r="G3" s="48"/>
      <c r="H3" s="296" t="s">
        <v>315</v>
      </c>
    </row>
    <row r="4" spans="1:8" x14ac:dyDescent="0.3">
      <c r="A4" s="762" t="s">
        <v>10</v>
      </c>
      <c r="B4" s="760" t="s">
        <v>561</v>
      </c>
      <c r="C4" s="761"/>
      <c r="D4" s="760" t="s">
        <v>562</v>
      </c>
      <c r="E4" s="761"/>
      <c r="F4" s="760" t="s">
        <v>588</v>
      </c>
      <c r="G4" s="761"/>
      <c r="H4" s="752" t="s">
        <v>9</v>
      </c>
    </row>
    <row r="5" spans="1:8" x14ac:dyDescent="0.3">
      <c r="A5" s="763"/>
      <c r="B5" s="728" t="s">
        <v>2</v>
      </c>
      <c r="C5" s="729" t="s">
        <v>3</v>
      </c>
      <c r="D5" s="728" t="s">
        <v>2</v>
      </c>
      <c r="E5" s="729" t="s">
        <v>3</v>
      </c>
      <c r="F5" s="728" t="s">
        <v>2</v>
      </c>
      <c r="G5" s="730" t="s">
        <v>3</v>
      </c>
      <c r="H5" s="754"/>
    </row>
    <row r="6" spans="1:8" ht="12" customHeight="1" x14ac:dyDescent="0.3">
      <c r="A6" s="539" t="s">
        <v>20</v>
      </c>
      <c r="B6" s="536">
        <f>B7+B8</f>
        <v>319.04899999999998</v>
      </c>
      <c r="C6" s="540">
        <f>IF(B$24&lt;&gt;0,ROUND(B6*100/B$24,1),0)</f>
        <v>11.6</v>
      </c>
      <c r="D6" s="536">
        <f>D7+D8</f>
        <v>352.60500000000002</v>
      </c>
      <c r="E6" s="540">
        <f>IF(D$24&lt;&gt;0,ROUND(D6*100/D$24,1),0)</f>
        <v>13.4</v>
      </c>
      <c r="F6" s="536">
        <f>F7+F8</f>
        <v>392.875</v>
      </c>
      <c r="G6" s="540">
        <f>IF(F$24&lt;&gt;0,ROUND(F6*100/F$24,1),0)</f>
        <v>15.3</v>
      </c>
      <c r="H6" s="538">
        <f>IF(D6&lt;&gt;0,F6/D6*100,"-")</f>
        <v>111.42071156109527</v>
      </c>
    </row>
    <row r="7" spans="1:8" ht="12" customHeight="1" x14ac:dyDescent="0.3">
      <c r="A7" s="94" t="s">
        <v>19</v>
      </c>
      <c r="B7" s="546">
        <v>182.62200000000001</v>
      </c>
      <c r="C7" s="545">
        <f t="shared" ref="C7:G23" si="0">IF(B$24&lt;&gt;0,ROUND(B7*100/B$24,1),0)</f>
        <v>6.7</v>
      </c>
      <c r="D7" s="546">
        <v>210.386</v>
      </c>
      <c r="E7" s="545">
        <f t="shared" si="0"/>
        <v>8</v>
      </c>
      <c r="F7" s="546">
        <v>233.82</v>
      </c>
      <c r="G7" s="545">
        <f t="shared" si="0"/>
        <v>9.1</v>
      </c>
      <c r="H7" s="50">
        <f>IF(D7&lt;&gt;0,F7/D7*100,"-")</f>
        <v>111.13857385947735</v>
      </c>
    </row>
    <row r="8" spans="1:8" ht="12" customHeight="1" x14ac:dyDescent="0.3">
      <c r="A8" s="537" t="s">
        <v>458</v>
      </c>
      <c r="B8" s="546">
        <v>136.42699999999999</v>
      </c>
      <c r="C8" s="547">
        <f t="shared" si="0"/>
        <v>5</v>
      </c>
      <c r="D8" s="546">
        <v>142.21899999999999</v>
      </c>
      <c r="E8" s="547">
        <f>IF(D$24&lt;&gt;0,ROUND(D8*100/D$24,1),0)</f>
        <v>5.4</v>
      </c>
      <c r="F8" s="546">
        <v>159.05500000000001</v>
      </c>
      <c r="G8" s="547">
        <f t="shared" si="0"/>
        <v>6.2</v>
      </c>
      <c r="H8" s="548">
        <f t="shared" ref="H8" si="1">IF(D8&lt;&gt;0,F8/D8*100,"-")</f>
        <v>111.83808070651602</v>
      </c>
    </row>
    <row r="9" spans="1:8" ht="12" customHeight="1" x14ac:dyDescent="0.3">
      <c r="A9" s="539" t="s">
        <v>21</v>
      </c>
      <c r="B9" s="536">
        <f>B10+B11</f>
        <v>1901.164</v>
      </c>
      <c r="C9" s="540">
        <f>IF(B$24&lt;&gt;0,ROUND(B9*100/B$24,1),0)</f>
        <v>69.2</v>
      </c>
      <c r="D9" s="536">
        <f>D10+D11</f>
        <v>1806.76</v>
      </c>
      <c r="E9" s="540">
        <f>IF(D$24&lt;&gt;0,ROUND(D9*100/D$24,1),0)</f>
        <v>68.5</v>
      </c>
      <c r="F9" s="536">
        <f>F10+F11</f>
        <v>1463.6510000000001</v>
      </c>
      <c r="G9" s="540">
        <f>IF(F$24&lt;&gt;0,ROUND(F9*100/F$24,1),0)</f>
        <v>57.2</v>
      </c>
      <c r="H9" s="538">
        <f>IF(D9&lt;&gt;0,F9/D9*100,"-")</f>
        <v>81.009707985565328</v>
      </c>
    </row>
    <row r="10" spans="1:8" ht="12" customHeight="1" x14ac:dyDescent="0.3">
      <c r="A10" s="94" t="s">
        <v>19</v>
      </c>
      <c r="B10" s="546">
        <v>1901.164</v>
      </c>
      <c r="C10" s="545">
        <f t="shared" si="0"/>
        <v>69.2</v>
      </c>
      <c r="D10" s="546">
        <v>1806.76</v>
      </c>
      <c r="E10" s="545">
        <f t="shared" si="0"/>
        <v>68.5</v>
      </c>
      <c r="F10" s="546">
        <v>1463.6510000000001</v>
      </c>
      <c r="G10" s="545">
        <f t="shared" si="0"/>
        <v>57.2</v>
      </c>
      <c r="H10" s="50">
        <f t="shared" ref="H10:H11" si="2">IF(D10&lt;&gt;0,F10/D10*100,"-")</f>
        <v>81.009707985565328</v>
      </c>
    </row>
    <row r="11" spans="1:8" ht="12" customHeight="1" x14ac:dyDescent="0.3">
      <c r="A11" s="537" t="s">
        <v>458</v>
      </c>
      <c r="B11" s="549">
        <v>0</v>
      </c>
      <c r="C11" s="547">
        <f t="shared" si="0"/>
        <v>0</v>
      </c>
      <c r="D11" s="549">
        <v>0</v>
      </c>
      <c r="E11" s="547">
        <f t="shared" si="0"/>
        <v>0</v>
      </c>
      <c r="F11" s="549">
        <v>0</v>
      </c>
      <c r="G11" s="547">
        <f>IF(F$24&lt;&gt;0,ROUND(F11*100/F$24,1),0)</f>
        <v>0</v>
      </c>
      <c r="H11" s="548" t="str">
        <f t="shared" si="2"/>
        <v>-</v>
      </c>
    </row>
    <row r="12" spans="1:8" ht="12" customHeight="1" x14ac:dyDescent="0.3">
      <c r="A12" s="539" t="s">
        <v>22</v>
      </c>
      <c r="B12" s="536">
        <f>B13+B14</f>
        <v>24.083000000000002</v>
      </c>
      <c r="C12" s="540">
        <f>IF(B$24&lt;&gt;0,ROUND(B12*100/B$24,1),0)</f>
        <v>0.9</v>
      </c>
      <c r="D12" s="536">
        <f>D13+D14</f>
        <v>26.122</v>
      </c>
      <c r="E12" s="540">
        <f>IF(D$24&lt;&gt;0,ROUND(D12*100/D$24,1),0)</f>
        <v>1</v>
      </c>
      <c r="F12" s="536">
        <f>F13+F14</f>
        <v>29.857000000000003</v>
      </c>
      <c r="G12" s="540">
        <f>IF(F$24&lt;&gt;0,ROUND(F12*100/F$24,1),0)</f>
        <v>1.2</v>
      </c>
      <c r="H12" s="538">
        <f>IF(D12&lt;&gt;0,F12/D12*100,"-")</f>
        <v>114.29829262690454</v>
      </c>
    </row>
    <row r="13" spans="1:8" ht="12" customHeight="1" x14ac:dyDescent="0.3">
      <c r="A13" s="94" t="s">
        <v>19</v>
      </c>
      <c r="B13" s="546">
        <v>2.8530000000000002</v>
      </c>
      <c r="C13" s="545">
        <f t="shared" si="0"/>
        <v>0.1</v>
      </c>
      <c r="D13" s="546">
        <v>1.143</v>
      </c>
      <c r="E13" s="545">
        <f t="shared" si="0"/>
        <v>0</v>
      </c>
      <c r="F13" s="546">
        <v>1.4139999999999999</v>
      </c>
      <c r="G13" s="545">
        <f t="shared" si="0"/>
        <v>0.1</v>
      </c>
      <c r="H13" s="50">
        <f t="shared" ref="H13:H14" si="3">IF(D13&lt;&gt;0,F13/D13*100,"-")</f>
        <v>123.70953630796149</v>
      </c>
    </row>
    <row r="14" spans="1:8" ht="12" customHeight="1" x14ac:dyDescent="0.3">
      <c r="A14" s="537" t="s">
        <v>458</v>
      </c>
      <c r="B14" s="549">
        <v>21.23</v>
      </c>
      <c r="C14" s="547">
        <f t="shared" si="0"/>
        <v>0.8</v>
      </c>
      <c r="D14" s="549">
        <v>24.978999999999999</v>
      </c>
      <c r="E14" s="547">
        <f t="shared" si="0"/>
        <v>0.9</v>
      </c>
      <c r="F14" s="549">
        <v>28.443000000000001</v>
      </c>
      <c r="G14" s="547">
        <f t="shared" si="0"/>
        <v>1.1000000000000001</v>
      </c>
      <c r="H14" s="548">
        <f t="shared" si="3"/>
        <v>113.86764882501301</v>
      </c>
    </row>
    <row r="15" spans="1:8" ht="12" customHeight="1" x14ac:dyDescent="0.3">
      <c r="A15" s="539" t="s">
        <v>23</v>
      </c>
      <c r="B15" s="536">
        <f>B16+B17</f>
        <v>500.17599999999999</v>
      </c>
      <c r="C15" s="540">
        <f>IF(B$24&lt;&gt;0,ROUND(B15*100/B$24,1),0)</f>
        <v>18.2</v>
      </c>
      <c r="D15" s="536">
        <f>D16+D17</f>
        <v>451.11900000000003</v>
      </c>
      <c r="E15" s="540">
        <f>IF(D$24&lt;&gt;0,ROUND(D15*100/D$24,1),0)</f>
        <v>17.100000000000001</v>
      </c>
      <c r="F15" s="536">
        <f>F16+F17</f>
        <v>673.65700000000004</v>
      </c>
      <c r="G15" s="540">
        <f>IF(F$24&lt;&gt;0,ROUND(F15*100/F$24,1),0)</f>
        <v>26.3</v>
      </c>
      <c r="H15" s="538">
        <f>IF(D15&lt;&gt;0,F15/D15*100,"-")</f>
        <v>149.33022107248863</v>
      </c>
    </row>
    <row r="16" spans="1:8" ht="12" customHeight="1" x14ac:dyDescent="0.3">
      <c r="A16" s="94" t="s">
        <v>19</v>
      </c>
      <c r="B16" s="546">
        <v>0</v>
      </c>
      <c r="C16" s="545">
        <f>IF(B$24&lt;&gt;0,ROUND(B16*100/B$24,1),0)</f>
        <v>0</v>
      </c>
      <c r="D16" s="546">
        <v>0</v>
      </c>
      <c r="E16" s="545">
        <f>IF(D$24&lt;&gt;0,ROUND(D16*100/D$24,1),0)</f>
        <v>0</v>
      </c>
      <c r="F16" s="546">
        <v>0</v>
      </c>
      <c r="G16" s="545">
        <f>IF(F$24&lt;&gt;0,ROUND(F16*100/F$24,1),0)</f>
        <v>0</v>
      </c>
      <c r="H16" s="50" t="str">
        <f t="shared" ref="H16:H17" si="4">IF(D16&lt;&gt;0,F16/D16*100,"-")</f>
        <v>-</v>
      </c>
    </row>
    <row r="17" spans="1:8" ht="12" customHeight="1" x14ac:dyDescent="0.3">
      <c r="A17" s="537" t="s">
        <v>458</v>
      </c>
      <c r="B17" s="549">
        <v>500.17599999999999</v>
      </c>
      <c r="C17" s="547">
        <f t="shared" si="0"/>
        <v>18.2</v>
      </c>
      <c r="D17" s="549">
        <v>451.11900000000003</v>
      </c>
      <c r="E17" s="547">
        <f t="shared" si="0"/>
        <v>17.100000000000001</v>
      </c>
      <c r="F17" s="549">
        <v>673.65700000000004</v>
      </c>
      <c r="G17" s="547">
        <f t="shared" si="0"/>
        <v>26.3</v>
      </c>
      <c r="H17" s="548">
        <f t="shared" si="4"/>
        <v>149.33022107248863</v>
      </c>
    </row>
    <row r="18" spans="1:8" ht="12" customHeight="1" x14ac:dyDescent="0.3">
      <c r="A18" s="539" t="s">
        <v>24</v>
      </c>
      <c r="B18" s="536">
        <f>B19+B20</f>
        <v>0.95799999999999996</v>
      </c>
      <c r="C18" s="540">
        <f>IF(B$24&lt;&gt;0,ROUND(B18*100/B$24,1),0)</f>
        <v>0</v>
      </c>
      <c r="D18" s="536">
        <f>D19+D20</f>
        <v>0</v>
      </c>
      <c r="E18" s="540">
        <f>IF(D$24&lt;&gt;0,ROUND(D18*100/D$24,1),0)</f>
        <v>0</v>
      </c>
      <c r="F18" s="536">
        <f>F19+F20</f>
        <v>0</v>
      </c>
      <c r="G18" s="540">
        <f>IF(F$24&lt;&gt;0,ROUND(F18*100/F$24,1),0)</f>
        <v>0</v>
      </c>
      <c r="H18" s="538" t="str">
        <f>IF(D18&lt;&gt;0,F18/D18*100,"-")</f>
        <v>-</v>
      </c>
    </row>
    <row r="19" spans="1:8" ht="12" customHeight="1" x14ac:dyDescent="0.3">
      <c r="A19" s="94" t="s">
        <v>19</v>
      </c>
      <c r="B19" s="546">
        <v>0</v>
      </c>
      <c r="C19" s="545">
        <f t="shared" si="0"/>
        <v>0</v>
      </c>
      <c r="D19" s="546">
        <v>0</v>
      </c>
      <c r="E19" s="545">
        <f t="shared" si="0"/>
        <v>0</v>
      </c>
      <c r="F19" s="546">
        <v>0</v>
      </c>
      <c r="G19" s="545">
        <f t="shared" si="0"/>
        <v>0</v>
      </c>
      <c r="H19" s="50" t="str">
        <f t="shared" ref="H19:H20" si="5">IF(D19&lt;&gt;0,F19/D19*100,"-")</f>
        <v>-</v>
      </c>
    </row>
    <row r="20" spans="1:8" ht="12" customHeight="1" x14ac:dyDescent="0.3">
      <c r="A20" s="537" t="s">
        <v>458</v>
      </c>
      <c r="B20" s="549">
        <v>0.95799999999999996</v>
      </c>
      <c r="C20" s="547">
        <f t="shared" si="0"/>
        <v>0</v>
      </c>
      <c r="D20" s="549">
        <v>0</v>
      </c>
      <c r="E20" s="547">
        <f t="shared" si="0"/>
        <v>0</v>
      </c>
      <c r="F20" s="549">
        <v>0</v>
      </c>
      <c r="G20" s="547">
        <f t="shared" si="0"/>
        <v>0</v>
      </c>
      <c r="H20" s="548" t="str">
        <f t="shared" si="5"/>
        <v>-</v>
      </c>
    </row>
    <row r="21" spans="1:8" ht="12" customHeight="1" x14ac:dyDescent="0.3">
      <c r="A21" s="539" t="s">
        <v>25</v>
      </c>
      <c r="B21" s="536">
        <f>B22+B23</f>
        <v>0</v>
      </c>
      <c r="C21" s="540">
        <f>IF(B$24&lt;&gt;0,ROUND(B21*100/B$24,1),0)</f>
        <v>0</v>
      </c>
      <c r="D21" s="536">
        <f>D22+D23</f>
        <v>0</v>
      </c>
      <c r="E21" s="540">
        <f>IF(D$24&lt;&gt;0,ROUND(D21*100/D$24,1),0)</f>
        <v>0</v>
      </c>
      <c r="F21" s="536">
        <f>F22+F23</f>
        <v>0</v>
      </c>
      <c r="G21" s="540">
        <f>IF(F$24&lt;&gt;0,ROUND(F21*100/F$24,1),0)</f>
        <v>0</v>
      </c>
      <c r="H21" s="538" t="str">
        <f>IF(D21&lt;&gt;0,F21/D21*100,"-")</f>
        <v>-</v>
      </c>
    </row>
    <row r="22" spans="1:8" ht="12" customHeight="1" x14ac:dyDescent="0.3">
      <c r="A22" s="94" t="s">
        <v>19</v>
      </c>
      <c r="B22" s="546">
        <v>0</v>
      </c>
      <c r="C22" s="545">
        <f t="shared" si="0"/>
        <v>0</v>
      </c>
      <c r="D22" s="546">
        <v>0</v>
      </c>
      <c r="E22" s="545">
        <f t="shared" si="0"/>
        <v>0</v>
      </c>
      <c r="F22" s="546">
        <v>0</v>
      </c>
      <c r="G22" s="545">
        <f t="shared" si="0"/>
        <v>0</v>
      </c>
      <c r="H22" s="50" t="str">
        <f t="shared" ref="H22:H23" si="6">IF(D22&lt;&gt;0,F22/D22*100,"-")</f>
        <v>-</v>
      </c>
    </row>
    <row r="23" spans="1:8" ht="12" customHeight="1" x14ac:dyDescent="0.3">
      <c r="A23" s="94" t="s">
        <v>458</v>
      </c>
      <c r="B23" s="546">
        <v>0</v>
      </c>
      <c r="C23" s="545">
        <f t="shared" si="0"/>
        <v>0</v>
      </c>
      <c r="D23" s="546">
        <v>0</v>
      </c>
      <c r="E23" s="545">
        <f t="shared" si="0"/>
        <v>0</v>
      </c>
      <c r="F23" s="546">
        <v>0</v>
      </c>
      <c r="G23" s="545">
        <f t="shared" si="0"/>
        <v>0</v>
      </c>
      <c r="H23" s="690" t="str">
        <f t="shared" si="6"/>
        <v>-</v>
      </c>
    </row>
    <row r="24" spans="1:8" ht="12" customHeight="1" x14ac:dyDescent="0.3">
      <c r="A24" s="691" t="s">
        <v>30</v>
      </c>
      <c r="B24" s="692">
        <f>SUM(B25:B26)</f>
        <v>2745.4300000000003</v>
      </c>
      <c r="C24" s="694">
        <f>C25+C26</f>
        <v>100</v>
      </c>
      <c r="D24" s="692">
        <f>SUM(D25:D26)</f>
        <v>2636.6059999999998</v>
      </c>
      <c r="E24" s="694">
        <f>E25+E26</f>
        <v>100</v>
      </c>
      <c r="F24" s="692">
        <f>SUM(F25:F26)</f>
        <v>2560.04</v>
      </c>
      <c r="G24" s="694">
        <f>G25+G26</f>
        <v>100</v>
      </c>
      <c r="H24" s="693">
        <f>IF(D24&lt;&gt;0,F24/D24*100,"-")</f>
        <v>97.096039377897199</v>
      </c>
    </row>
    <row r="25" spans="1:8" ht="12" customHeight="1" x14ac:dyDescent="0.3">
      <c r="A25" s="94" t="s">
        <v>19</v>
      </c>
      <c r="B25" s="546">
        <f>B7+B10+B13+B16+B19+B22</f>
        <v>2086.6390000000001</v>
      </c>
      <c r="C25" s="545">
        <f>IF(B$24&lt;&gt;0,ROUND(B25*100/B$24,1),0)</f>
        <v>76</v>
      </c>
      <c r="D25" s="546">
        <f>D7+D10+D13+D16+D19+D22</f>
        <v>2018.289</v>
      </c>
      <c r="E25" s="545">
        <f>IF(D$24&lt;&gt;0,ROUND(D25*100/D$24,1),0)</f>
        <v>76.5</v>
      </c>
      <c r="F25" s="546">
        <f>F7+F10+F13+F16+F19+F22</f>
        <v>1698.885</v>
      </c>
      <c r="G25" s="545">
        <f>IF(F$24&lt;&gt;0,ROUND(F25*100/F$24,1),0)</f>
        <v>66.400000000000006</v>
      </c>
      <c r="H25" s="50">
        <f t="shared" ref="H25:H26" si="7">IF(D25&lt;&gt;0,F25/D25*100,"-")</f>
        <v>84.174516137183531</v>
      </c>
    </row>
    <row r="26" spans="1:8" ht="12" customHeight="1" thickBot="1" x14ac:dyDescent="0.35">
      <c r="A26" s="641" t="s">
        <v>458</v>
      </c>
      <c r="B26" s="551">
        <f>B8+B11+B14+B17+B20+B23</f>
        <v>658.79099999999994</v>
      </c>
      <c r="C26" s="695">
        <f>IF(B$24&lt;&gt;0,ROUND(B26*100/B$24,1),0)</f>
        <v>24</v>
      </c>
      <c r="D26" s="551">
        <f>D8+D11+D14+D17+D20+D23</f>
        <v>618.31700000000001</v>
      </c>
      <c r="E26" s="695">
        <f>IF(D$24&lt;&gt;0,ROUND(D26*100/D$24,1),0)</f>
        <v>23.5</v>
      </c>
      <c r="F26" s="551">
        <f>F8+F11+F14+F17+F20+F23</f>
        <v>861.15500000000009</v>
      </c>
      <c r="G26" s="695">
        <f>IF(F$24&lt;&gt;0,ROUND(F26*100/F$24,1),0)</f>
        <v>33.6</v>
      </c>
      <c r="H26" s="550">
        <f t="shared" si="7"/>
        <v>139.27402934093678</v>
      </c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FV14"/>
  <sheetViews>
    <sheetView showGridLines="0" topLeftCell="A2" zoomScaleNormal="100" workbookViewId="0">
      <selection activeCell="A3" sqref="A3"/>
    </sheetView>
  </sheetViews>
  <sheetFormatPr defaultColWidth="9.109375" defaultRowHeight="14.4" x14ac:dyDescent="0.3"/>
  <cols>
    <col min="1" max="1" width="32.33203125" customWidth="1"/>
    <col min="2" max="2" width="10.88671875" customWidth="1"/>
    <col min="3" max="3" width="5.5546875" customWidth="1"/>
    <col min="4" max="4" width="11.33203125" customWidth="1"/>
    <col min="5" max="5" width="5.5546875" customWidth="1"/>
    <col min="6" max="6" width="10.5546875" customWidth="1"/>
    <col min="7" max="7" width="5.5546875" customWidth="1"/>
    <col min="8" max="8" width="6.88671875" customWidth="1"/>
  </cols>
  <sheetData>
    <row r="1" spans="1:178" ht="15" hidden="1" customHeight="1" x14ac:dyDescent="0.3">
      <c r="A1" s="92"/>
    </row>
    <row r="3" spans="1:178" x14ac:dyDescent="0.3">
      <c r="A3" s="48" t="s">
        <v>261</v>
      </c>
      <c r="B3" s="48"/>
      <c r="C3" s="48"/>
      <c r="D3" s="48"/>
      <c r="E3" s="48"/>
      <c r="F3" s="48"/>
      <c r="G3" s="48"/>
      <c r="H3" s="296" t="s">
        <v>315</v>
      </c>
    </row>
    <row r="4" spans="1:178" x14ac:dyDescent="0.3">
      <c r="A4" s="735" t="s">
        <v>10</v>
      </c>
      <c r="B4" s="737" t="s">
        <v>561</v>
      </c>
      <c r="C4" s="739"/>
      <c r="D4" s="737" t="s">
        <v>562</v>
      </c>
      <c r="E4" s="739"/>
      <c r="F4" s="737" t="s">
        <v>588</v>
      </c>
      <c r="G4" s="739"/>
      <c r="H4" s="764" t="s">
        <v>9</v>
      </c>
    </row>
    <row r="5" spans="1:178" x14ac:dyDescent="0.3">
      <c r="A5" s="736"/>
      <c r="B5" s="164" t="s">
        <v>2</v>
      </c>
      <c r="C5" s="165" t="s">
        <v>3</v>
      </c>
      <c r="D5" s="164" t="s">
        <v>2</v>
      </c>
      <c r="E5" s="165" t="s">
        <v>3</v>
      </c>
      <c r="F5" s="164" t="s">
        <v>2</v>
      </c>
      <c r="G5" s="165" t="s">
        <v>3</v>
      </c>
      <c r="H5" s="765"/>
    </row>
    <row r="6" spans="1:178" ht="14.1" customHeight="1" x14ac:dyDescent="0.3">
      <c r="A6" s="55" t="s">
        <v>422</v>
      </c>
      <c r="B6" s="56">
        <v>631.529</v>
      </c>
      <c r="C6" s="501">
        <f>IF($B$14&lt;&gt;0,B6*100/$B$14,0)</f>
        <v>11.06948389477199</v>
      </c>
      <c r="D6" s="56">
        <v>547.85</v>
      </c>
      <c r="E6" s="501">
        <f>IF($D$14&lt;&gt;0,D6*100/$D$14,0)</f>
        <v>9.4572503284187057</v>
      </c>
      <c r="F6" s="56">
        <v>495.464</v>
      </c>
      <c r="G6" s="501">
        <f>IF($F$14&lt;&gt;0,F6*100/$F$14,0)</f>
        <v>8.1806403421886049</v>
      </c>
      <c r="H6" s="50">
        <f>IF(D6&lt;&gt;0,F6/D6*100,"-")</f>
        <v>90.437893584010226</v>
      </c>
    </row>
    <row r="7" spans="1:178" ht="14.1" customHeight="1" x14ac:dyDescent="0.3">
      <c r="A7" s="55" t="s">
        <v>320</v>
      </c>
      <c r="B7" s="56">
        <v>237.167</v>
      </c>
      <c r="C7" s="501">
        <f>IF($B$14&lt;&gt;0,B7*100/$B$14,0)</f>
        <v>4.1570795432535776</v>
      </c>
      <c r="D7" s="56">
        <v>325.24700000000001</v>
      </c>
      <c r="E7" s="501">
        <f t="shared" ref="E7:E13" si="0">IF($D$14&lt;&gt;0,D7*100/$D$14,0)</f>
        <v>5.614570224636668</v>
      </c>
      <c r="F7" s="56">
        <v>341.834</v>
      </c>
      <c r="G7" s="501">
        <f t="shared" ref="G7:G13" si="1">IF($F$14&lt;&gt;0,F7*100/$F$14,0)</f>
        <v>5.6440447958513627</v>
      </c>
      <c r="H7" s="50">
        <f>IF(D7&lt;&gt;0,F7/D7*100,"-")</f>
        <v>105.09981644719244</v>
      </c>
    </row>
    <row r="8" spans="1:178" ht="14.1" customHeight="1" x14ac:dyDescent="0.3">
      <c r="A8" s="55" t="s">
        <v>321</v>
      </c>
      <c r="B8" s="56">
        <v>1976.2239999999999</v>
      </c>
      <c r="C8" s="501">
        <f t="shared" ref="C8:C13" si="2">IF($B$14&lt;&gt;0,B8*100/$B$14,0)</f>
        <v>34.639390654208881</v>
      </c>
      <c r="D8" s="56">
        <v>1902.711</v>
      </c>
      <c r="E8" s="501">
        <f t="shared" si="0"/>
        <v>32.845512876947858</v>
      </c>
      <c r="F8" s="56">
        <v>2098.8150000000001</v>
      </c>
      <c r="G8" s="501">
        <f t="shared" si="1"/>
        <v>34.653679500005197</v>
      </c>
      <c r="H8" s="50">
        <f>IF(D8&lt;&gt;0,F8/D8*100,"-")</f>
        <v>110.30655732793892</v>
      </c>
    </row>
    <row r="9" spans="1:178" ht="14.1" customHeight="1" x14ac:dyDescent="0.3">
      <c r="A9" s="55" t="s">
        <v>322</v>
      </c>
      <c r="B9" s="56">
        <v>4.7969999999999997</v>
      </c>
      <c r="C9" s="501">
        <f t="shared" si="2"/>
        <v>8.4082147048229347E-2</v>
      </c>
      <c r="D9" s="56">
        <v>11.476000000000001</v>
      </c>
      <c r="E9" s="501">
        <f t="shared" si="0"/>
        <v>0.19810423431401492</v>
      </c>
      <c r="F9" s="56">
        <v>12.942</v>
      </c>
      <c r="G9" s="501">
        <f t="shared" si="1"/>
        <v>0.21368625633467803</v>
      </c>
      <c r="H9" s="50">
        <f>IF(D9&lt;&gt;0,F9/D9*100,"-")</f>
        <v>112.77448588358313</v>
      </c>
    </row>
    <row r="10" spans="1:178" ht="14.1" customHeight="1" x14ac:dyDescent="0.3">
      <c r="A10" s="55" t="s">
        <v>323</v>
      </c>
      <c r="B10" s="56">
        <v>0</v>
      </c>
      <c r="C10" s="501">
        <f t="shared" si="2"/>
        <v>0</v>
      </c>
      <c r="D10" s="56">
        <v>0</v>
      </c>
      <c r="E10" s="501">
        <f t="shared" si="0"/>
        <v>0</v>
      </c>
      <c r="F10" s="56">
        <v>0</v>
      </c>
      <c r="G10" s="501">
        <f t="shared" si="1"/>
        <v>0</v>
      </c>
      <c r="H10" s="50" t="str">
        <f t="shared" ref="H10:H13" si="3">IF(D10&lt;&gt;0,F10/D10*100,"-")</f>
        <v>-</v>
      </c>
    </row>
    <row r="11" spans="1:178" ht="14.1" customHeight="1" x14ac:dyDescent="0.3">
      <c r="A11" s="55" t="s">
        <v>324</v>
      </c>
      <c r="B11" s="56">
        <v>55.076999999999998</v>
      </c>
      <c r="C11" s="501">
        <f t="shared" si="2"/>
        <v>0.96539345694711864</v>
      </c>
      <c r="D11" s="56">
        <v>58.847999999999999</v>
      </c>
      <c r="E11" s="501">
        <f t="shared" si="0"/>
        <v>1.0158624939797098</v>
      </c>
      <c r="F11" s="56">
        <v>68.075999999999993</v>
      </c>
      <c r="G11" s="501">
        <f t="shared" si="1"/>
        <v>1.1240075402750378</v>
      </c>
      <c r="H11" s="50">
        <f>IF(D11&lt;&gt;0,F11/D11*100,"-")</f>
        <v>115.68107667210438</v>
      </c>
    </row>
    <row r="12" spans="1:178" ht="14.1" customHeight="1" x14ac:dyDescent="0.3">
      <c r="A12" s="55" t="s">
        <v>424</v>
      </c>
      <c r="B12" s="56">
        <v>2793.0630000000001</v>
      </c>
      <c r="C12" s="501">
        <f t="shared" si="2"/>
        <v>48.957001017504403</v>
      </c>
      <c r="D12" s="56">
        <v>2924.6489999999999</v>
      </c>
      <c r="E12" s="501">
        <f t="shared" si="0"/>
        <v>50.486698395107119</v>
      </c>
      <c r="F12" s="56">
        <v>3017.951</v>
      </c>
      <c r="G12" s="501">
        <f t="shared" si="1"/>
        <v>49.829597511319569</v>
      </c>
      <c r="H12" s="50">
        <f>IF(D12&lt;&gt;0,F12/D12*100,"-")</f>
        <v>103.19019478918668</v>
      </c>
    </row>
    <row r="13" spans="1:178" ht="14.1" customHeight="1" x14ac:dyDescent="0.3">
      <c r="A13" s="55" t="s">
        <v>153</v>
      </c>
      <c r="B13" s="56">
        <v>7.2779999999999996</v>
      </c>
      <c r="C13" s="501">
        <f t="shared" si="2"/>
        <v>0.12756928626579386</v>
      </c>
      <c r="D13" s="56">
        <v>22.129000000000001</v>
      </c>
      <c r="E13" s="501">
        <f t="shared" si="0"/>
        <v>0.38200144659592505</v>
      </c>
      <c r="F13" s="56">
        <v>21.460999999999999</v>
      </c>
      <c r="G13" s="501">
        <f t="shared" si="1"/>
        <v>0.35434405402553892</v>
      </c>
      <c r="H13" s="50">
        <f t="shared" si="3"/>
        <v>96.981336707487898</v>
      </c>
    </row>
    <row r="14" spans="1:178" s="2" customFormat="1" ht="14.1" customHeight="1" thickBot="1" x14ac:dyDescent="0.35">
      <c r="A14" s="84" t="s">
        <v>30</v>
      </c>
      <c r="B14" s="85">
        <f>SUM(B6:B13)</f>
        <v>5705.1350000000002</v>
      </c>
      <c r="C14" s="502">
        <f>SUM(C6:C13)</f>
        <v>99.999999999999986</v>
      </c>
      <c r="D14" s="85">
        <f>SUM(D6:D13)</f>
        <v>5792.91</v>
      </c>
      <c r="E14" s="502">
        <f>SUM(E6:E13)</f>
        <v>100</v>
      </c>
      <c r="F14" s="85">
        <f>SUM(F6:F13)</f>
        <v>6056.5430000000006</v>
      </c>
      <c r="G14" s="502">
        <f t="shared" ref="G14" si="4">SUM(G6:G13)</f>
        <v>100</v>
      </c>
      <c r="H14" s="86">
        <f>IF(D14&lt;&gt;0,F14/D14*100,"-")</f>
        <v>104.55095970764263</v>
      </c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FW14"/>
  <sheetViews>
    <sheetView showGridLines="0" topLeftCell="A2" zoomScaleNormal="100" workbookViewId="0">
      <selection activeCell="A3" sqref="A3"/>
    </sheetView>
  </sheetViews>
  <sheetFormatPr defaultColWidth="8.6640625" defaultRowHeight="14.4" x14ac:dyDescent="0.3"/>
  <cols>
    <col min="1" max="1" width="22.88671875" customWidth="1"/>
    <col min="2" max="3" width="7.6640625" customWidth="1"/>
    <col min="4" max="4" width="5.88671875" customWidth="1"/>
    <col min="5" max="6" width="7.6640625" customWidth="1"/>
    <col min="7" max="7" width="6.44140625" customWidth="1"/>
    <col min="8" max="9" width="7.6640625" customWidth="1"/>
    <col min="10" max="10" width="7" customWidth="1"/>
    <col min="11" max="16384" width="8.6640625" style="3"/>
  </cols>
  <sheetData>
    <row r="1" spans="1:179" hidden="1" x14ac:dyDescent="0.3">
      <c r="A1" s="92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x14ac:dyDescent="0.3">
      <c r="A2" s="9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48" t="s">
        <v>309</v>
      </c>
      <c r="B3" s="48"/>
      <c r="C3" s="48"/>
      <c r="D3" s="48"/>
      <c r="E3" s="48"/>
      <c r="F3" s="48"/>
      <c r="G3" s="48"/>
      <c r="H3" s="82"/>
      <c r="I3" s="770" t="s">
        <v>315</v>
      </c>
      <c r="J3" s="771" t="s">
        <v>11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24.75" customHeight="1" x14ac:dyDescent="0.3">
      <c r="A4" s="735" t="s">
        <v>10</v>
      </c>
      <c r="B4" s="767" t="s">
        <v>82</v>
      </c>
      <c r="C4" s="768"/>
      <c r="D4" s="768"/>
      <c r="E4" s="767" t="s">
        <v>27</v>
      </c>
      <c r="F4" s="768"/>
      <c r="G4" s="768" t="s">
        <v>14</v>
      </c>
      <c r="H4" s="767" t="s">
        <v>26</v>
      </c>
      <c r="I4" s="768"/>
      <c r="J4" s="769" t="s">
        <v>14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5" customHeight="1" x14ac:dyDescent="0.3">
      <c r="A5" s="766"/>
      <c r="B5" s="133" t="s">
        <v>562</v>
      </c>
      <c r="C5" s="134" t="s">
        <v>588</v>
      </c>
      <c r="D5" s="129" t="s">
        <v>9</v>
      </c>
      <c r="E5" s="133" t="s">
        <v>562</v>
      </c>
      <c r="F5" s="134" t="s">
        <v>588</v>
      </c>
      <c r="G5" s="129" t="s">
        <v>9</v>
      </c>
      <c r="H5" s="133" t="s">
        <v>562</v>
      </c>
      <c r="I5" s="134" t="s">
        <v>588</v>
      </c>
      <c r="J5" s="128" t="s">
        <v>9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s="13" customFormat="1" ht="13.2" customHeight="1" x14ac:dyDescent="0.3">
      <c r="A6" s="55" t="s">
        <v>422</v>
      </c>
      <c r="B6" s="642">
        <v>5.9340000000000002</v>
      </c>
      <c r="C6" s="636">
        <v>2.996</v>
      </c>
      <c r="D6" s="643">
        <f>IF(B6&lt;&gt;0,C6/B6*100,"-")</f>
        <v>50.488709133805187</v>
      </c>
      <c r="E6" s="642">
        <v>541.34500000000003</v>
      </c>
      <c r="F6" s="636">
        <v>491.77</v>
      </c>
      <c r="G6" s="644">
        <f>IF(E6&lt;&gt;0,F6/E6*100,"-")</f>
        <v>90.842254015461478</v>
      </c>
      <c r="H6" s="642">
        <v>0.57099999999999995</v>
      </c>
      <c r="I6" s="636">
        <v>0.69799999999999995</v>
      </c>
      <c r="J6" s="645">
        <f>IF(H6&lt;&gt;0,I6/H6*100,"-")</f>
        <v>122.2416812609457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s="13" customFormat="1" ht="13.2" customHeight="1" x14ac:dyDescent="0.3">
      <c r="A7" s="55" t="s">
        <v>320</v>
      </c>
      <c r="B7" s="646">
        <v>48.863999999999997</v>
      </c>
      <c r="C7" s="71">
        <v>47.963000000000001</v>
      </c>
      <c r="D7" s="645">
        <f t="shared" ref="D7:D14" si="0">IF(B7&lt;&gt;0,C7/B7*100,"-")</f>
        <v>98.156106745252131</v>
      </c>
      <c r="E7" s="646">
        <v>276.09800000000001</v>
      </c>
      <c r="F7" s="71">
        <v>293.58800000000002</v>
      </c>
      <c r="G7" s="644">
        <f t="shared" ref="G7:G14" si="1">IF(E7&lt;&gt;0,F7/E7*100,"-")</f>
        <v>106.33470724163159</v>
      </c>
      <c r="H7" s="646">
        <v>0.28499999999999998</v>
      </c>
      <c r="I7" s="71">
        <v>0.28299999999999997</v>
      </c>
      <c r="J7" s="645">
        <f t="shared" ref="J7:J14" si="2">IF(H7&lt;&gt;0,I7/H7*100,"-")</f>
        <v>99.298245614035082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s="18" customFormat="1" ht="13.2" customHeight="1" x14ac:dyDescent="0.3">
      <c r="A8" s="55" t="s">
        <v>321</v>
      </c>
      <c r="B8" s="646">
        <v>563.37599999999998</v>
      </c>
      <c r="C8" s="71">
        <v>571.68899999999996</v>
      </c>
      <c r="D8" s="645">
        <f t="shared" si="0"/>
        <v>101.47556871432222</v>
      </c>
      <c r="E8" s="646">
        <v>1280.4960000000001</v>
      </c>
      <c r="F8" s="71">
        <v>1470.2840000000001</v>
      </c>
      <c r="G8" s="644">
        <f t="shared" si="1"/>
        <v>114.82144419037623</v>
      </c>
      <c r="H8" s="646">
        <v>58.838999999999999</v>
      </c>
      <c r="I8" s="71">
        <v>56.841999999999999</v>
      </c>
      <c r="J8" s="645">
        <f t="shared" si="2"/>
        <v>96.605992623939912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s="13" customFormat="1" ht="13.2" customHeight="1" x14ac:dyDescent="0.3">
      <c r="A9" s="55" t="s">
        <v>322</v>
      </c>
      <c r="B9" s="646">
        <v>0.12</v>
      </c>
      <c r="C9" s="71">
        <v>0.30399999999999999</v>
      </c>
      <c r="D9" s="645">
        <f t="shared" si="0"/>
        <v>253.33333333333331</v>
      </c>
      <c r="E9" s="646">
        <v>11.294</v>
      </c>
      <c r="F9" s="71">
        <v>12.574</v>
      </c>
      <c r="G9" s="644">
        <f t="shared" si="1"/>
        <v>111.33345139011863</v>
      </c>
      <c r="H9" s="646">
        <v>6.2E-2</v>
      </c>
      <c r="I9" s="71">
        <v>6.4000000000000001E-2</v>
      </c>
      <c r="J9" s="645">
        <f t="shared" si="2"/>
        <v>103.2258064516129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s="18" customFormat="1" ht="13.2" customHeight="1" x14ac:dyDescent="0.3">
      <c r="A10" s="55" t="s">
        <v>323</v>
      </c>
      <c r="B10" s="646">
        <v>0</v>
      </c>
      <c r="C10" s="71">
        <v>0</v>
      </c>
      <c r="D10" s="645" t="str">
        <f t="shared" si="0"/>
        <v>-</v>
      </c>
      <c r="E10" s="646">
        <v>0</v>
      </c>
      <c r="F10" s="71">
        <v>0</v>
      </c>
      <c r="G10" s="644" t="str">
        <f t="shared" si="1"/>
        <v>-</v>
      </c>
      <c r="H10" s="646">
        <v>0</v>
      </c>
      <c r="I10" s="71">
        <v>0</v>
      </c>
      <c r="J10" s="645" t="str">
        <f t="shared" si="2"/>
        <v>-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s="13" customFormat="1" ht="13.2" customHeight="1" x14ac:dyDescent="0.3">
      <c r="A11" s="55" t="s">
        <v>324</v>
      </c>
      <c r="B11" s="646">
        <v>4.88</v>
      </c>
      <c r="C11" s="71">
        <v>5.4660000000000002</v>
      </c>
      <c r="D11" s="645">
        <f t="shared" si="0"/>
        <v>112.00819672131148</v>
      </c>
      <c r="E11" s="646">
        <v>53.968000000000004</v>
      </c>
      <c r="F11" s="71">
        <v>62.61</v>
      </c>
      <c r="G11" s="644">
        <f t="shared" si="1"/>
        <v>116.01319300326118</v>
      </c>
      <c r="H11" s="646">
        <v>0</v>
      </c>
      <c r="I11" s="71">
        <v>0</v>
      </c>
      <c r="J11" s="645" t="str">
        <f t="shared" si="2"/>
        <v>-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s="18" customFormat="1" ht="13.2" customHeight="1" x14ac:dyDescent="0.3">
      <c r="A12" s="55" t="s">
        <v>424</v>
      </c>
      <c r="B12" s="646">
        <v>177.506</v>
      </c>
      <c r="C12" s="71">
        <v>188.68600000000001</v>
      </c>
      <c r="D12" s="645">
        <f t="shared" si="0"/>
        <v>106.29837864635563</v>
      </c>
      <c r="E12" s="646">
        <v>2697.6149999999998</v>
      </c>
      <c r="F12" s="71">
        <v>2779.0529999999999</v>
      </c>
      <c r="G12" s="644">
        <f t="shared" si="1"/>
        <v>103.01888890742379</v>
      </c>
      <c r="H12" s="646">
        <v>49.527999999999999</v>
      </c>
      <c r="I12" s="71">
        <v>50.212000000000003</v>
      </c>
      <c r="J12" s="645">
        <f t="shared" si="2"/>
        <v>101.38103698917784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s="18" customFormat="1" ht="13.2" customHeight="1" x14ac:dyDescent="0.3">
      <c r="A13" s="55" t="s">
        <v>153</v>
      </c>
      <c r="B13" s="646">
        <v>8.1760000000000002</v>
      </c>
      <c r="C13" s="71">
        <v>6.4000000000000001E-2</v>
      </c>
      <c r="D13" s="645">
        <f t="shared" si="0"/>
        <v>0.78277886497064575</v>
      </c>
      <c r="E13" s="646">
        <v>13.932</v>
      </c>
      <c r="F13" s="71">
        <v>21.001999999999999</v>
      </c>
      <c r="G13" s="644">
        <f t="shared" si="1"/>
        <v>150.74648291702556</v>
      </c>
      <c r="H13" s="646">
        <v>2.1000000000000001E-2</v>
      </c>
      <c r="I13" s="71">
        <v>0.39500000000000002</v>
      </c>
      <c r="J13" s="645">
        <f t="shared" si="2"/>
        <v>1880.952380952381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s="19" customFormat="1" ht="14.1" customHeight="1" thickBot="1" x14ac:dyDescent="0.35">
      <c r="A14" s="84" t="s">
        <v>30</v>
      </c>
      <c r="B14" s="647">
        <f>SUM(B6:B13)</f>
        <v>808.85599999999999</v>
      </c>
      <c r="C14" s="317">
        <f>SUM(C6:C13)</f>
        <v>817.16799999999989</v>
      </c>
      <c r="D14" s="86">
        <f t="shared" si="0"/>
        <v>101.02762420010482</v>
      </c>
      <c r="E14" s="647">
        <f>SUM(E6:E13)</f>
        <v>4874.7479999999996</v>
      </c>
      <c r="F14" s="317">
        <f>SUM(F6:F13)</f>
        <v>5130.8810000000003</v>
      </c>
      <c r="G14" s="86">
        <f t="shared" si="1"/>
        <v>105.254281862365</v>
      </c>
      <c r="H14" s="85">
        <f t="shared" ref="H14:I14" si="3">SUM(H6:H13)</f>
        <v>109.306</v>
      </c>
      <c r="I14" s="317">
        <f t="shared" si="3"/>
        <v>108.494</v>
      </c>
      <c r="J14" s="86">
        <f t="shared" si="2"/>
        <v>99.257131356009737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FW20"/>
  <sheetViews>
    <sheetView showGridLines="0" topLeftCell="A2" zoomScaleNormal="100" workbookViewId="0">
      <selection activeCell="A3" sqref="A3"/>
    </sheetView>
  </sheetViews>
  <sheetFormatPr defaultColWidth="8.6640625" defaultRowHeight="14.4" x14ac:dyDescent="0.3"/>
  <cols>
    <col min="1" max="1" width="18.109375" customWidth="1"/>
    <col min="2" max="2" width="8.33203125" customWidth="1"/>
    <col min="3" max="3" width="5.33203125" customWidth="1"/>
    <col min="4" max="4" width="7.33203125" customWidth="1"/>
    <col min="5" max="5" width="5.33203125" customWidth="1"/>
    <col min="6" max="6" width="7.33203125" customWidth="1"/>
    <col min="7" max="7" width="5.33203125" customWidth="1"/>
    <col min="8" max="8" width="8.5546875" customWidth="1"/>
    <col min="9" max="9" width="5.33203125" customWidth="1"/>
    <col min="10" max="10" width="7.33203125" customWidth="1"/>
    <col min="11" max="11" width="5.33203125" customWidth="1"/>
    <col min="12" max="12" width="7.33203125" customWidth="1"/>
    <col min="13" max="13" width="5.33203125" customWidth="1"/>
    <col min="14" max="14" width="6.33203125" customWidth="1"/>
    <col min="15" max="16384" width="8.6640625" style="35"/>
  </cols>
  <sheetData>
    <row r="1" spans="1:179" hidden="1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x14ac:dyDescent="0.3">
      <c r="B2" s="25"/>
      <c r="C2" s="25"/>
      <c r="D2" s="25"/>
      <c r="E2" s="25"/>
      <c r="F2" s="25"/>
      <c r="G2" s="25"/>
      <c r="H2" s="25"/>
      <c r="I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87" t="s">
        <v>308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296" t="s">
        <v>315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2" customHeight="1" x14ac:dyDescent="0.3">
      <c r="A4" s="735" t="s">
        <v>10</v>
      </c>
      <c r="B4" s="772" t="s">
        <v>562</v>
      </c>
      <c r="C4" s="773"/>
      <c r="D4" s="773"/>
      <c r="E4" s="773"/>
      <c r="F4" s="773"/>
      <c r="G4" s="774"/>
      <c r="H4" s="772" t="s">
        <v>588</v>
      </c>
      <c r="I4" s="773"/>
      <c r="J4" s="773"/>
      <c r="K4" s="773"/>
      <c r="L4" s="773"/>
      <c r="M4" s="774"/>
      <c r="N4" s="775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61.2" x14ac:dyDescent="0.3">
      <c r="A5" s="757"/>
      <c r="B5" s="722" t="s">
        <v>566</v>
      </c>
      <c r="C5" s="723" t="s">
        <v>3</v>
      </c>
      <c r="D5" s="723" t="s">
        <v>569</v>
      </c>
      <c r="E5" s="723" t="s">
        <v>3</v>
      </c>
      <c r="F5" s="723" t="s">
        <v>16</v>
      </c>
      <c r="G5" s="724" t="s">
        <v>3</v>
      </c>
      <c r="H5" s="722" t="s">
        <v>566</v>
      </c>
      <c r="I5" s="723" t="s">
        <v>3</v>
      </c>
      <c r="J5" s="723" t="s">
        <v>569</v>
      </c>
      <c r="K5" s="723" t="s">
        <v>3</v>
      </c>
      <c r="L5" s="723" t="s">
        <v>16</v>
      </c>
      <c r="M5" s="724" t="s">
        <v>3</v>
      </c>
      <c r="N5" s="776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x14ac:dyDescent="0.3">
      <c r="A6" s="7" t="s">
        <v>28</v>
      </c>
      <c r="B6" s="363"/>
      <c r="C6" s="364"/>
      <c r="D6" s="365"/>
      <c r="E6" s="364"/>
      <c r="F6" s="366"/>
      <c r="G6" s="364"/>
      <c r="H6" s="363"/>
      <c r="I6" s="364"/>
      <c r="J6" s="365"/>
      <c r="K6" s="364"/>
      <c r="L6" s="366"/>
      <c r="M6" s="367"/>
      <c r="N6" s="36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55" t="s">
        <v>325</v>
      </c>
      <c r="B7" s="368">
        <v>6.5049999999999999</v>
      </c>
      <c r="C7" s="369">
        <f>IF(B$20&gt;0,B7*100/B$20,0)</f>
        <v>0.11229244024160567</v>
      </c>
      <c r="D7" s="370">
        <v>0</v>
      </c>
      <c r="E7" s="369">
        <f>IF(D$20&gt;0,D7*100/D$20,0)</f>
        <v>0</v>
      </c>
      <c r="F7" s="131">
        <f>B7+D7</f>
        <v>6.5049999999999999</v>
      </c>
      <c r="G7" s="369">
        <f>IF(F$20&gt;0,F7*100/F$20,0)</f>
        <v>8.4513106417266601E-2</v>
      </c>
      <c r="H7" s="368">
        <v>3.694</v>
      </c>
      <c r="I7" s="369">
        <f>IF(H$20&gt;0,H7*100/H$20,0)</f>
        <v>6.0991889267524392E-2</v>
      </c>
      <c r="J7" s="370">
        <v>0</v>
      </c>
      <c r="K7" s="369">
        <f>IF(J$20&gt;0,J7*100/J$20,0)</f>
        <v>0</v>
      </c>
      <c r="L7" s="131">
        <f>H7+J7</f>
        <v>3.694</v>
      </c>
      <c r="M7" s="371">
        <f>IF(L$20&gt;0,L7*100/L$20,0)</f>
        <v>4.5274507033052712E-2</v>
      </c>
      <c r="N7" s="372">
        <f>IF(F7&lt;&gt;0,L7*100/F7,0)</f>
        <v>56.787086856264409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55" t="s">
        <v>326</v>
      </c>
      <c r="B8" s="368">
        <v>671.36400000000003</v>
      </c>
      <c r="C8" s="369">
        <f>IF(B$20&gt;0,B8*100/B$20,0)</f>
        <v>11.58940843203157</v>
      </c>
      <c r="D8" s="370">
        <v>316.34899999999999</v>
      </c>
      <c r="E8" s="369">
        <f t="shared" ref="E8:E11" si="0">IF(D$20&gt;0,D8*100/D$20,0)</f>
        <v>16.61391266626438</v>
      </c>
      <c r="F8" s="131">
        <f t="shared" ref="F8:F11" si="1">B8+D8</f>
        <v>987.71299999999997</v>
      </c>
      <c r="G8" s="369">
        <f t="shared" ref="G8:G11" si="2">IF(F$20&gt;0,F8*100/F$20,0)</f>
        <v>12.83238952785821</v>
      </c>
      <c r="H8" s="368">
        <v>676.77700000000004</v>
      </c>
      <c r="I8" s="369">
        <f>IF(H$20&gt;0,H8*100/H$20,0)</f>
        <v>11.174311814512011</v>
      </c>
      <c r="J8" s="370">
        <v>357.072</v>
      </c>
      <c r="K8" s="369">
        <f>IF(J$20&gt;0,J8*100/J$20,0)</f>
        <v>16.982612740383928</v>
      </c>
      <c r="L8" s="131">
        <f t="shared" ref="L8:L11" si="3">H8+J8</f>
        <v>1033.8490000000002</v>
      </c>
      <c r="M8" s="371">
        <f t="shared" ref="M8:M11" si="4">IF(L$20&gt;0,L8*100/L$20,0)</f>
        <v>12.671089285764626</v>
      </c>
      <c r="N8" s="372">
        <f>IF(F8&lt;&gt;0,L8*100/F8,0)</f>
        <v>104.67099248465904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55" t="s">
        <v>327</v>
      </c>
      <c r="B9" s="368">
        <v>0</v>
      </c>
      <c r="C9" s="369">
        <f>IF(B$20&gt;0,B9*100/B$20,0)</f>
        <v>0</v>
      </c>
      <c r="D9" s="370">
        <v>0</v>
      </c>
      <c r="E9" s="369">
        <f t="shared" si="0"/>
        <v>0</v>
      </c>
      <c r="F9" s="131">
        <f t="shared" si="1"/>
        <v>0</v>
      </c>
      <c r="G9" s="369">
        <f t="shared" si="2"/>
        <v>0</v>
      </c>
      <c r="H9" s="368">
        <v>0</v>
      </c>
      <c r="I9" s="369">
        <f t="shared" ref="I9:K11" si="5">IF(H$20&gt;0,H9*100/H$20,0)</f>
        <v>0</v>
      </c>
      <c r="J9" s="370">
        <v>0</v>
      </c>
      <c r="K9" s="369">
        <f t="shared" si="5"/>
        <v>0</v>
      </c>
      <c r="L9" s="131">
        <f t="shared" si="3"/>
        <v>0</v>
      </c>
      <c r="M9" s="371">
        <f t="shared" si="4"/>
        <v>0</v>
      </c>
      <c r="N9" s="372">
        <f>IF(F9&lt;&gt;0,L9*100/F9,0)</f>
        <v>0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55" t="s">
        <v>429</v>
      </c>
      <c r="B10" s="373">
        <v>227.03399999999999</v>
      </c>
      <c r="C10" s="369">
        <f>IF(B$20&gt;0,B10*100/B$20,0)</f>
        <v>3.9191701580034897</v>
      </c>
      <c r="D10" s="131">
        <v>38.137</v>
      </c>
      <c r="E10" s="369">
        <f t="shared" si="0"/>
        <v>2.0028664144768107</v>
      </c>
      <c r="F10" s="374">
        <f t="shared" si="1"/>
        <v>265.17099999999999</v>
      </c>
      <c r="G10" s="369">
        <f t="shared" si="2"/>
        <v>3.4451076005800156</v>
      </c>
      <c r="H10" s="373">
        <v>238.898</v>
      </c>
      <c r="I10" s="369">
        <f t="shared" si="5"/>
        <v>3.9444613866359077</v>
      </c>
      <c r="J10" s="131">
        <v>40.006999999999998</v>
      </c>
      <c r="K10" s="369">
        <f t="shared" si="5"/>
        <v>1.9027629943107827</v>
      </c>
      <c r="L10" s="374">
        <f t="shared" si="3"/>
        <v>278.90499999999997</v>
      </c>
      <c r="M10" s="371">
        <f t="shared" si="4"/>
        <v>3.4183233308212144</v>
      </c>
      <c r="N10" s="372">
        <f t="shared" ref="N10:N20" si="6">IF(F10&lt;&gt;0,L10*100/F10,0)</f>
        <v>105.17929939548441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55" t="s">
        <v>153</v>
      </c>
      <c r="B11" s="368">
        <v>13.259</v>
      </c>
      <c r="C11" s="369">
        <f>IF(B$20&gt;0,B11*100/B$20,0)</f>
        <v>0.22888323830337429</v>
      </c>
      <c r="D11" s="370">
        <v>0.93500000000000005</v>
      </c>
      <c r="E11" s="369">
        <f t="shared" si="0"/>
        <v>4.9104022275895276E-2</v>
      </c>
      <c r="F11" s="131">
        <f t="shared" si="1"/>
        <v>14.194000000000001</v>
      </c>
      <c r="G11" s="369">
        <f t="shared" si="2"/>
        <v>0.1844087674845015</v>
      </c>
      <c r="H11" s="368">
        <v>6.2930000000000001</v>
      </c>
      <c r="I11" s="369">
        <f t="shared" si="5"/>
        <v>0.10390415786695481</v>
      </c>
      <c r="J11" s="370">
        <v>0</v>
      </c>
      <c r="K11" s="369">
        <f t="shared" si="5"/>
        <v>0</v>
      </c>
      <c r="L11" s="131">
        <f t="shared" si="3"/>
        <v>6.2930000000000001</v>
      </c>
      <c r="M11" s="371">
        <f t="shared" si="4"/>
        <v>7.7128444168652083E-2</v>
      </c>
      <c r="N11" s="372">
        <f t="shared" si="6"/>
        <v>44.335634775257155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541" t="s">
        <v>16</v>
      </c>
      <c r="B12" s="376">
        <f t="shared" ref="B12:M12" si="7">SUM(B7:B11)</f>
        <v>918.16200000000003</v>
      </c>
      <c r="C12" s="377">
        <f>SUM(C7:C11)</f>
        <v>15.849754268580039</v>
      </c>
      <c r="D12" s="378">
        <f t="shared" si="7"/>
        <v>355.42099999999999</v>
      </c>
      <c r="E12" s="377">
        <f t="shared" si="7"/>
        <v>18.665883103017084</v>
      </c>
      <c r="F12" s="378">
        <f t="shared" si="7"/>
        <v>1273.5829999999999</v>
      </c>
      <c r="G12" s="377">
        <f>SUM(G7:G11)</f>
        <v>16.546419002339995</v>
      </c>
      <c r="H12" s="376">
        <f t="shared" si="7"/>
        <v>925.66200000000003</v>
      </c>
      <c r="I12" s="377">
        <f>SUM(I7:I11)</f>
        <v>15.283669248282399</v>
      </c>
      <c r="J12" s="378">
        <f t="shared" si="7"/>
        <v>397.07900000000001</v>
      </c>
      <c r="K12" s="377">
        <f t="shared" si="7"/>
        <v>18.885375734694712</v>
      </c>
      <c r="L12" s="378">
        <f t="shared" si="7"/>
        <v>1322.741</v>
      </c>
      <c r="M12" s="379">
        <f t="shared" si="7"/>
        <v>16.211815567787543</v>
      </c>
      <c r="N12" s="380">
        <f t="shared" si="6"/>
        <v>103.85981910876639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7" t="s">
        <v>29</v>
      </c>
      <c r="B13" s="381"/>
      <c r="C13" s="369"/>
      <c r="D13" s="382"/>
      <c r="E13" s="369"/>
      <c r="F13" s="131"/>
      <c r="G13" s="369"/>
      <c r="H13" s="381"/>
      <c r="I13" s="369"/>
      <c r="J13" s="382"/>
      <c r="K13" s="369"/>
      <c r="L13" s="131"/>
      <c r="M13" s="371"/>
      <c r="N13" s="372">
        <f t="shared" si="6"/>
        <v>0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55" t="s">
        <v>325</v>
      </c>
      <c r="B14" s="368">
        <v>541.34500000000003</v>
      </c>
      <c r="C14" s="369">
        <f>IF(B$20&gt;0,B14*100/B$20,0)</f>
        <v>9.3449578881770972</v>
      </c>
      <c r="D14" s="370">
        <v>77.546999999999997</v>
      </c>
      <c r="E14" s="369">
        <f>IF(D$20&gt;0,D14*100/D$20,0)</f>
        <v>4.0725878239880764</v>
      </c>
      <c r="F14" s="131">
        <f t="shared" ref="F14:F18" si="8">B14+D14</f>
        <v>618.89200000000005</v>
      </c>
      <c r="G14" s="369">
        <f>IF(F$20&gt;0,F14*100/F$20,0)</f>
        <v>8.0406587942805494</v>
      </c>
      <c r="H14" s="368">
        <v>491.77</v>
      </c>
      <c r="I14" s="369">
        <f>IF(H$20&gt;0,H14*100/H$20,0)</f>
        <v>8.1196484529210817</v>
      </c>
      <c r="J14" s="370">
        <v>81.304000000000002</v>
      </c>
      <c r="K14" s="369">
        <f>IF(J$20&gt;0,J14*100/J$20,0)</f>
        <v>3.8668793583483865</v>
      </c>
      <c r="L14" s="131">
        <f t="shared" ref="L14:L18" si="9">H14+J14</f>
        <v>573.07399999999996</v>
      </c>
      <c r="M14" s="371">
        <f>IF(L$20&gt;0,L14*100/L$20,0)</f>
        <v>7.0237257291444646</v>
      </c>
      <c r="N14" s="372">
        <f t="shared" si="6"/>
        <v>92.596769711031953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55" t="s">
        <v>326</v>
      </c>
      <c r="B15" s="368">
        <v>1556.5940000000001</v>
      </c>
      <c r="C15" s="369">
        <f t="shared" ref="C15:E18" si="10">IF(B$20&gt;0,B15*100/B$20,0)</f>
        <v>26.870674669552947</v>
      </c>
      <c r="D15" s="370">
        <v>636.48400000000004</v>
      </c>
      <c r="E15" s="369">
        <f t="shared" si="10"/>
        <v>33.426657234492978</v>
      </c>
      <c r="F15" s="131">
        <f t="shared" si="8"/>
        <v>2193.078</v>
      </c>
      <c r="G15" s="369">
        <f t="shared" ref="G15:G18" si="11">IF(F$20&gt;0,F15*100/F$20,0)</f>
        <v>28.492518738718864</v>
      </c>
      <c r="H15" s="368">
        <v>1763.8720000000001</v>
      </c>
      <c r="I15" s="369">
        <f t="shared" ref="I15:I18" si="12">IF(H$20&gt;0,H15*100/H$20,0)</f>
        <v>29.123412481344559</v>
      </c>
      <c r="J15" s="370">
        <v>653.99800000000005</v>
      </c>
      <c r="K15" s="369">
        <f t="shared" ref="K15:K18" si="13">IF(J$20&gt;0,J15*100/J$20,0)</f>
        <v>31.104636507442784</v>
      </c>
      <c r="L15" s="131">
        <f t="shared" si="9"/>
        <v>2417.87</v>
      </c>
      <c r="M15" s="371">
        <f t="shared" ref="M15:M18" si="14">IF(L$20&gt;0,L15*100/L$20,0)</f>
        <v>29.633966518680882</v>
      </c>
      <c r="N15" s="372">
        <f t="shared" si="6"/>
        <v>110.25006862501014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3">
      <c r="A16" s="55" t="s">
        <v>327</v>
      </c>
      <c r="B16" s="368">
        <v>0</v>
      </c>
      <c r="C16" s="369">
        <f t="shared" si="10"/>
        <v>0</v>
      </c>
      <c r="D16" s="370">
        <v>5.7450000000000001</v>
      </c>
      <c r="E16" s="369">
        <f t="shared" si="10"/>
        <v>0.3017140192246186</v>
      </c>
      <c r="F16" s="131">
        <f t="shared" si="8"/>
        <v>5.7450000000000001</v>
      </c>
      <c r="G16" s="369">
        <f t="shared" si="11"/>
        <v>7.4639169310868045E-2</v>
      </c>
      <c r="H16" s="368">
        <v>0</v>
      </c>
      <c r="I16" s="369">
        <f t="shared" si="12"/>
        <v>0</v>
      </c>
      <c r="J16" s="370">
        <v>5.4710000000000001</v>
      </c>
      <c r="K16" s="369">
        <f t="shared" si="13"/>
        <v>0.26020487269413584</v>
      </c>
      <c r="L16" s="131">
        <f t="shared" si="9"/>
        <v>5.4710000000000001</v>
      </c>
      <c r="M16" s="371">
        <f t="shared" si="14"/>
        <v>6.7053824574399415E-2</v>
      </c>
      <c r="N16" s="372">
        <f t="shared" si="6"/>
        <v>95.230635335073984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1" customHeight="1" x14ac:dyDescent="0.3">
      <c r="A17" s="55" t="s">
        <v>429</v>
      </c>
      <c r="B17" s="368">
        <v>2697.6149999999998</v>
      </c>
      <c r="C17" s="369">
        <f t="shared" si="10"/>
        <v>46.567528237103623</v>
      </c>
      <c r="D17" s="370">
        <v>828.43799999999999</v>
      </c>
      <c r="E17" s="369">
        <f t="shared" si="10"/>
        <v>43.507634231227954</v>
      </c>
      <c r="F17" s="131">
        <f t="shared" si="8"/>
        <v>3526.0529999999999</v>
      </c>
      <c r="G17" s="369">
        <f t="shared" si="11"/>
        <v>45.810559941878886</v>
      </c>
      <c r="H17" s="368">
        <v>2779.0529999999999</v>
      </c>
      <c r="I17" s="369">
        <f t="shared" si="12"/>
        <v>45.885136124683669</v>
      </c>
      <c r="J17" s="370">
        <v>959.23900000000003</v>
      </c>
      <c r="K17" s="369">
        <f t="shared" si="13"/>
        <v>45.622127925105133</v>
      </c>
      <c r="L17" s="131">
        <f t="shared" si="9"/>
        <v>3738.2919999999999</v>
      </c>
      <c r="M17" s="371">
        <f t="shared" si="14"/>
        <v>45.817359893233544</v>
      </c>
      <c r="N17" s="372">
        <f t="shared" si="6"/>
        <v>106.01916647310748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1" customHeight="1" x14ac:dyDescent="0.3">
      <c r="A18" s="55" t="s">
        <v>153</v>
      </c>
      <c r="B18" s="368">
        <v>79.194000000000003</v>
      </c>
      <c r="C18" s="369">
        <f t="shared" si="10"/>
        <v>1.3670849365862752</v>
      </c>
      <c r="D18" s="370">
        <v>0.48599999999999999</v>
      </c>
      <c r="E18" s="369">
        <f t="shared" si="10"/>
        <v>2.5523588049288885E-2</v>
      </c>
      <c r="F18" s="131">
        <f t="shared" si="8"/>
        <v>79.680000000000007</v>
      </c>
      <c r="G18" s="369">
        <f t="shared" si="11"/>
        <v>1.0352043534708384</v>
      </c>
      <c r="H18" s="368">
        <v>96.186000000000007</v>
      </c>
      <c r="I18" s="369">
        <f t="shared" si="12"/>
        <v>1.5881336927683005</v>
      </c>
      <c r="J18" s="370">
        <v>5.4829999999999997</v>
      </c>
      <c r="K18" s="369">
        <f t="shared" si="13"/>
        <v>0.26077560171485042</v>
      </c>
      <c r="L18" s="131">
        <f t="shared" si="9"/>
        <v>101.66900000000001</v>
      </c>
      <c r="M18" s="371">
        <f t="shared" si="14"/>
        <v>1.2460784665791655</v>
      </c>
      <c r="N18" s="372">
        <f t="shared" si="6"/>
        <v>127.59663654618474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1" customHeight="1" x14ac:dyDescent="0.3">
      <c r="A19" s="541" t="s">
        <v>16</v>
      </c>
      <c r="B19" s="376">
        <f>SUM(B14:B18)</f>
        <v>4874.7480000000005</v>
      </c>
      <c r="C19" s="377">
        <f>SUM(C14:C18)</f>
        <v>84.150245731419943</v>
      </c>
      <c r="D19" s="378">
        <f>SUM(D14:D18)</f>
        <v>1548.7</v>
      </c>
      <c r="E19" s="377">
        <f>SUM(E14:E18)</f>
        <v>81.334116896982906</v>
      </c>
      <c r="F19" s="378">
        <f t="shared" ref="F19:L19" si="15">SUM(F14:F18)</f>
        <v>6423.4480000000003</v>
      </c>
      <c r="G19" s="377">
        <f>SUM(G14:G18)</f>
        <v>83.453580997660012</v>
      </c>
      <c r="H19" s="376">
        <f t="shared" si="15"/>
        <v>5130.8809999999994</v>
      </c>
      <c r="I19" s="377">
        <f t="shared" si="15"/>
        <v>84.716330751717607</v>
      </c>
      <c r="J19" s="378">
        <f t="shared" si="15"/>
        <v>1705.4950000000001</v>
      </c>
      <c r="K19" s="377">
        <f>SUM(K14:K18)</f>
        <v>81.114624265305295</v>
      </c>
      <c r="L19" s="378">
        <f t="shared" si="15"/>
        <v>6836.3760000000002</v>
      </c>
      <c r="M19" s="379">
        <f>SUM(M14:M18)</f>
        <v>83.788184432212446</v>
      </c>
      <c r="N19" s="380">
        <f t="shared" si="6"/>
        <v>106.42844777446629</v>
      </c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s="126" customFormat="1" ht="14.1" customHeight="1" thickBot="1" x14ac:dyDescent="0.35">
      <c r="A20" s="79" t="s">
        <v>97</v>
      </c>
      <c r="B20" s="384">
        <f>B19+B12</f>
        <v>5792.9100000000008</v>
      </c>
      <c r="C20" s="660">
        <f>C19+C12</f>
        <v>99.999999999999986</v>
      </c>
      <c r="D20" s="386">
        <f>D19+D12</f>
        <v>1904.1210000000001</v>
      </c>
      <c r="E20" s="660">
        <f>E19+E12</f>
        <v>99.999999999999986</v>
      </c>
      <c r="F20" s="386">
        <f t="shared" ref="F20:L20" si="16">F19+F12</f>
        <v>7697.0309999999999</v>
      </c>
      <c r="G20" s="660">
        <f>G19+G12</f>
        <v>100</v>
      </c>
      <c r="H20" s="384">
        <f t="shared" si="16"/>
        <v>6056.5429999999997</v>
      </c>
      <c r="I20" s="660">
        <f t="shared" si="16"/>
        <v>100</v>
      </c>
      <c r="J20" s="386">
        <f t="shared" si="16"/>
        <v>2102.5740000000001</v>
      </c>
      <c r="K20" s="660">
        <f t="shared" si="16"/>
        <v>100</v>
      </c>
      <c r="L20" s="386">
        <f t="shared" si="16"/>
        <v>8159.1170000000002</v>
      </c>
      <c r="M20" s="661">
        <f>M19+M12</f>
        <v>99.999999999999986</v>
      </c>
      <c r="N20" s="388">
        <f t="shared" si="6"/>
        <v>106.00343171282539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FW16"/>
  <sheetViews>
    <sheetView showGridLines="0" topLeftCell="A2" zoomScaleNormal="100" workbookViewId="0">
      <selection activeCell="A3" sqref="A3"/>
    </sheetView>
  </sheetViews>
  <sheetFormatPr defaultColWidth="8.6640625" defaultRowHeight="12" x14ac:dyDescent="0.25"/>
  <cols>
    <col min="1" max="1" width="18.6640625" style="35" customWidth="1"/>
    <col min="2" max="2" width="8.5546875" style="35" bestFit="1" customWidth="1"/>
    <col min="3" max="3" width="5" style="35" customWidth="1"/>
    <col min="4" max="4" width="6.5546875" style="35" customWidth="1"/>
    <col min="5" max="5" width="5" style="35" customWidth="1"/>
    <col min="6" max="6" width="8.5546875" style="35" bestFit="1" customWidth="1"/>
    <col min="7" max="7" width="5.5546875" style="35" customWidth="1"/>
    <col min="8" max="8" width="8.5546875" style="35" bestFit="1" customWidth="1"/>
    <col min="9" max="9" width="5" style="35" customWidth="1"/>
    <col min="10" max="10" width="7.44140625" style="35" bestFit="1" customWidth="1"/>
    <col min="11" max="11" width="5.5546875" style="35" customWidth="1"/>
    <col min="12" max="12" width="8.5546875" style="35" bestFit="1" customWidth="1"/>
    <col min="13" max="13" width="5.5546875" style="35" customWidth="1"/>
    <col min="14" max="14" width="6.88671875" style="35" customWidth="1"/>
    <col min="15" max="16384" width="8.6640625" style="35"/>
  </cols>
  <sheetData>
    <row r="1" spans="1:179" ht="14.4" hidden="1" x14ac:dyDescent="0.3">
      <c r="A1" s="136"/>
      <c r="B1" s="137"/>
      <c r="C1" s="137"/>
      <c r="D1" s="137"/>
      <c r="E1" s="137"/>
      <c r="F1" s="137"/>
      <c r="G1" s="137"/>
      <c r="H1" s="137"/>
      <c r="I1" s="137"/>
      <c r="J1" s="137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A2" s="136"/>
      <c r="B2" s="137"/>
      <c r="C2" s="137"/>
      <c r="D2" s="137"/>
      <c r="E2" s="137"/>
      <c r="F2" s="137"/>
      <c r="G2" s="137"/>
      <c r="H2" s="137"/>
      <c r="I2" s="137"/>
      <c r="J2" s="137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87" t="s">
        <v>565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96" t="s">
        <v>315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77" t="s">
        <v>10</v>
      </c>
      <c r="B4" s="772" t="s">
        <v>562</v>
      </c>
      <c r="C4" s="773"/>
      <c r="D4" s="773"/>
      <c r="E4" s="773"/>
      <c r="F4" s="773"/>
      <c r="G4" s="774"/>
      <c r="H4" s="772" t="s">
        <v>588</v>
      </c>
      <c r="I4" s="773"/>
      <c r="J4" s="773"/>
      <c r="K4" s="773"/>
      <c r="L4" s="773"/>
      <c r="M4" s="774"/>
      <c r="N4" s="775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81.599999999999994" x14ac:dyDescent="0.3">
      <c r="A5" s="778"/>
      <c r="B5" s="722" t="s">
        <v>566</v>
      </c>
      <c r="C5" s="723" t="s">
        <v>3</v>
      </c>
      <c r="D5" s="723" t="s">
        <v>569</v>
      </c>
      <c r="E5" s="723" t="s">
        <v>3</v>
      </c>
      <c r="F5" s="723" t="s">
        <v>16</v>
      </c>
      <c r="G5" s="724" t="s">
        <v>3</v>
      </c>
      <c r="H5" s="722" t="s">
        <v>566</v>
      </c>
      <c r="I5" s="723" t="s">
        <v>3</v>
      </c>
      <c r="J5" s="723" t="s">
        <v>569</v>
      </c>
      <c r="K5" s="723" t="s">
        <v>3</v>
      </c>
      <c r="L5" s="723" t="s">
        <v>16</v>
      </c>
      <c r="M5" s="724" t="s">
        <v>3</v>
      </c>
      <c r="N5" s="776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4" x14ac:dyDescent="0.3">
      <c r="A6" s="140" t="s">
        <v>430</v>
      </c>
      <c r="B6" s="391"/>
      <c r="C6" s="503"/>
      <c r="D6" s="393"/>
      <c r="E6" s="503"/>
      <c r="F6" s="393"/>
      <c r="G6" s="506"/>
      <c r="H6" s="391"/>
      <c r="I6" s="503"/>
      <c r="J6" s="393"/>
      <c r="K6" s="503"/>
      <c r="L6" s="393"/>
      <c r="M6" s="506"/>
      <c r="N6" s="392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139" t="s">
        <v>328</v>
      </c>
      <c r="B7" s="394">
        <v>177.84299999999999</v>
      </c>
      <c r="C7" s="504">
        <f>IF(B$16&gt;0,B7*100/B$16,0)</f>
        <v>6.0808322639742398</v>
      </c>
      <c r="D7" s="395">
        <v>36.793999999999997</v>
      </c>
      <c r="E7" s="504">
        <f>IF(D$16&gt;0,D7*100/D$16,0)</f>
        <v>4.245910625162276</v>
      </c>
      <c r="F7" s="393">
        <f>B7+D7</f>
        <v>214.637</v>
      </c>
      <c r="G7" s="507">
        <f>IF(F$16&gt;0,F7*100/F$16,0)</f>
        <v>5.6614169988373151</v>
      </c>
      <c r="H7" s="394">
        <v>188.999</v>
      </c>
      <c r="I7" s="504">
        <f>IF(H$16&gt;0,H7*100/H$16,0)</f>
        <v>6.2624939901277381</v>
      </c>
      <c r="J7" s="395">
        <v>38.229999999999997</v>
      </c>
      <c r="K7" s="504">
        <f>IF(J$16&gt;0,J7*100/J$16,0)</f>
        <v>3.8258847170766752</v>
      </c>
      <c r="L7" s="393">
        <f>H7+J7</f>
        <v>227.22899999999998</v>
      </c>
      <c r="M7" s="507">
        <f>IF(L$16&gt;0,L7*100/L$16,0)</f>
        <v>5.6564066935228707</v>
      </c>
      <c r="N7" s="392">
        <f>IF(F7&lt;&gt;0,L7*100/F7,"-")</f>
        <v>105.86664927295853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139" t="s">
        <v>329</v>
      </c>
      <c r="B8" s="394">
        <v>13.484</v>
      </c>
      <c r="C8" s="504">
        <f t="shared" ref="C8:C9" si="0">IF(B$16&gt;0,B8*100/B$16,0)</f>
        <v>0.46104677860488558</v>
      </c>
      <c r="D8" s="395">
        <v>4.2000000000000003E-2</v>
      </c>
      <c r="E8" s="504">
        <f>IF(D$16&gt;0,D8*100/D$16,0)</f>
        <v>4.8466664743386321E-3</v>
      </c>
      <c r="F8" s="393">
        <f t="shared" ref="F8:F9" si="1">B8+D8</f>
        <v>13.526</v>
      </c>
      <c r="G8" s="507">
        <f>IF(F$16&gt;0,F8*100/F$16,0)</f>
        <v>0.35677132240141968</v>
      </c>
      <c r="H8" s="394">
        <v>13.946</v>
      </c>
      <c r="I8" s="504">
        <f t="shared" ref="I8" si="2">IF(H$16&gt;0,H8*100/H$16,0)</f>
        <v>0.46210160469802192</v>
      </c>
      <c r="J8" s="395">
        <v>0</v>
      </c>
      <c r="K8" s="504">
        <f t="shared" ref="K8" si="3">IF(J$16&gt;0,J8*100/J$16,0)</f>
        <v>0</v>
      </c>
      <c r="L8" s="393">
        <f t="shared" ref="L8:L9" si="4">H8+J8</f>
        <v>13.946</v>
      </c>
      <c r="M8" s="507">
        <f t="shared" ref="M8:M9" si="5">IF(L$16&gt;0,L8*100/L$16,0)</f>
        <v>0.34715748319039369</v>
      </c>
      <c r="N8" s="392">
        <f>IF(F8&lt;&gt;0,L8*100/F8,"-")</f>
        <v>103.1051308590862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139" t="s">
        <v>411</v>
      </c>
      <c r="B9" s="394">
        <v>35.707000000000001</v>
      </c>
      <c r="C9" s="504">
        <f t="shared" si="0"/>
        <v>1.2208986445894874</v>
      </c>
      <c r="D9" s="395">
        <v>1.3009999999999999</v>
      </c>
      <c r="E9" s="504">
        <f>IF(D$16&gt;0,D9*100/D$16,0)</f>
        <v>0.15013126388367998</v>
      </c>
      <c r="F9" s="393">
        <f t="shared" si="1"/>
        <v>37.008000000000003</v>
      </c>
      <c r="G9" s="507">
        <f>IF(F$16&gt;0,F9*100/F$16,0)</f>
        <v>0.97614912756407968</v>
      </c>
      <c r="H9" s="394">
        <v>35.953000000000003</v>
      </c>
      <c r="I9" s="504">
        <f t="shared" ref="I9" si="6">IF(H$16&gt;0,H9*100/H$16,0)</f>
        <v>1.1913049615451012</v>
      </c>
      <c r="J9" s="395">
        <v>1.7769999999999999</v>
      </c>
      <c r="K9" s="504">
        <f t="shared" ref="K9" si="7">IF(J$16&gt;0,J9*100/J$16,0)</f>
        <v>0.17783408690152375</v>
      </c>
      <c r="L9" s="393">
        <f t="shared" si="4"/>
        <v>37.730000000000004</v>
      </c>
      <c r="M9" s="507">
        <f t="shared" si="5"/>
        <v>0.93921209241169912</v>
      </c>
      <c r="N9" s="392">
        <f>IF(F9&lt;&gt;0,L9*100/F9,"-")</f>
        <v>101.95092952875055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302" t="s">
        <v>16</v>
      </c>
      <c r="B10" s="396">
        <f t="shared" ref="B10:M10" si="8">SUM(B7:B9)</f>
        <v>227.03399999999999</v>
      </c>
      <c r="C10" s="505">
        <f t="shared" si="8"/>
        <v>7.7627776871686134</v>
      </c>
      <c r="D10" s="397">
        <f t="shared" si="8"/>
        <v>38.137</v>
      </c>
      <c r="E10" s="505">
        <f t="shared" si="8"/>
        <v>4.4008885555202948</v>
      </c>
      <c r="F10" s="397">
        <f t="shared" si="8"/>
        <v>265.17099999999999</v>
      </c>
      <c r="G10" s="508">
        <f>SUM(G7:G9)</f>
        <v>6.9943374488028143</v>
      </c>
      <c r="H10" s="396">
        <f t="shared" si="8"/>
        <v>238.898</v>
      </c>
      <c r="I10" s="505">
        <f t="shared" si="8"/>
        <v>7.9159005563708611</v>
      </c>
      <c r="J10" s="397">
        <f t="shared" si="8"/>
        <v>40.006999999999998</v>
      </c>
      <c r="K10" s="505">
        <f t="shared" si="8"/>
        <v>4.0037188039781988</v>
      </c>
      <c r="L10" s="397">
        <f t="shared" si="8"/>
        <v>278.90499999999997</v>
      </c>
      <c r="M10" s="508">
        <f t="shared" si="8"/>
        <v>6.9427762691249635</v>
      </c>
      <c r="N10" s="398">
        <f>IF(F10&lt;&gt;0,L10*100/F10,"-")</f>
        <v>105.17929939548441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24" x14ac:dyDescent="0.3">
      <c r="A11" s="140" t="s">
        <v>431</v>
      </c>
      <c r="B11" s="399"/>
      <c r="C11" s="504"/>
      <c r="D11" s="400"/>
      <c r="E11" s="504"/>
      <c r="F11" s="393"/>
      <c r="G11" s="507"/>
      <c r="H11" s="399"/>
      <c r="I11" s="504"/>
      <c r="J11" s="400"/>
      <c r="K11" s="504"/>
      <c r="L11" s="393"/>
      <c r="M11" s="507"/>
      <c r="N11" s="392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139" t="s">
        <v>328</v>
      </c>
      <c r="B12" s="394">
        <v>1670.7719999999999</v>
      </c>
      <c r="C12" s="504">
        <f>IF(B$16&gt;0,B12*100/B$16,0)</f>
        <v>57.127265528273639</v>
      </c>
      <c r="D12" s="395">
        <v>651.71500000000003</v>
      </c>
      <c r="E12" s="504">
        <f>IF(D$16&gt;0,D12*100/D$16,0)</f>
        <v>75.205839079133369</v>
      </c>
      <c r="F12" s="393">
        <f t="shared" ref="F12:F14" si="9">B12+D12</f>
        <v>2322.4870000000001</v>
      </c>
      <c r="G12" s="507">
        <f>IF(F$16&gt;0,F12*100/F$16,0)</f>
        <v>61.259556280504668</v>
      </c>
      <c r="H12" s="394">
        <v>1766.673</v>
      </c>
      <c r="I12" s="504">
        <f>IF(H$16&gt;0,H12*100/H$16,0)</f>
        <v>58.538823194942523</v>
      </c>
      <c r="J12" s="395">
        <v>745.80499999999995</v>
      </c>
      <c r="K12" s="504">
        <f>IF(J$16&gt;0,J12*100/J$16,0)</f>
        <v>74.636776129201422</v>
      </c>
      <c r="L12" s="393">
        <f t="shared" ref="L12:L14" si="10">H12+J12</f>
        <v>2512.4780000000001</v>
      </c>
      <c r="M12" s="507">
        <f>IF(L$16&gt;0,L12*100/L$16,0)</f>
        <v>62.54306174180654</v>
      </c>
      <c r="N12" s="392">
        <f>IF(F12&lt;&gt;0,L12*100/F12,"-")</f>
        <v>108.18049788868571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139" t="s">
        <v>329</v>
      </c>
      <c r="B13" s="394">
        <v>850.36300000000006</v>
      </c>
      <c r="C13" s="504">
        <f t="shared" ref="C13:E14" si="11">IF(B$16&gt;0,B13*100/B$16,0)</f>
        <v>29.075728403647751</v>
      </c>
      <c r="D13" s="395">
        <v>162.07400000000001</v>
      </c>
      <c r="E13" s="504">
        <f t="shared" si="11"/>
        <v>18.702824337189512</v>
      </c>
      <c r="F13" s="393">
        <f t="shared" si="9"/>
        <v>1012.4370000000001</v>
      </c>
      <c r="G13" s="507">
        <f>IF(F$16&gt;0,F13*100/F$16,0)</f>
        <v>26.704752871368196</v>
      </c>
      <c r="H13" s="394">
        <v>866.80899999999997</v>
      </c>
      <c r="I13" s="504">
        <f t="shared" ref="I13" si="12">IF(H$16&gt;0,H13*100/H$16,0)</f>
        <v>28.721771824658518</v>
      </c>
      <c r="J13" s="395">
        <v>201.364</v>
      </c>
      <c r="K13" s="504">
        <f t="shared" ref="K13" si="13">IF(J$16&gt;0,J13*100/J$16,0)</f>
        <v>20.151594302103788</v>
      </c>
      <c r="L13" s="393">
        <f t="shared" si="10"/>
        <v>1068.173</v>
      </c>
      <c r="M13" s="507">
        <f t="shared" ref="M13:M14" si="14">IF(L$16&gt;0,L13*100/L$16,0)</f>
        <v>26.590007908499384</v>
      </c>
      <c r="N13" s="392">
        <f>IF(F13&lt;&gt;0,L13*100/F13,"-")</f>
        <v>105.50513266504483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139" t="s">
        <v>411</v>
      </c>
      <c r="B14" s="394">
        <v>176.48</v>
      </c>
      <c r="C14" s="504">
        <f t="shared" si="11"/>
        <v>6.0342283809099824</v>
      </c>
      <c r="D14" s="395">
        <v>14.648999999999999</v>
      </c>
      <c r="E14" s="504">
        <f t="shared" si="11"/>
        <v>1.6904480281568239</v>
      </c>
      <c r="F14" s="393">
        <f t="shared" si="9"/>
        <v>191.12899999999999</v>
      </c>
      <c r="G14" s="507">
        <f>IF(F$16&gt;0,F14*100/F$16,0)</f>
        <v>5.0413533993243345</v>
      </c>
      <c r="H14" s="394">
        <v>145.571</v>
      </c>
      <c r="I14" s="504">
        <f t="shared" ref="I14" si="15">IF(H$16&gt;0,H14*100/H$16,0)</f>
        <v>4.8235044240280907</v>
      </c>
      <c r="J14" s="395">
        <v>12.07</v>
      </c>
      <c r="K14" s="504">
        <f t="shared" ref="K14" si="16">IF(J$16&gt;0,J14*100/J$16,0)</f>
        <v>1.2079107647165963</v>
      </c>
      <c r="L14" s="393">
        <f t="shared" si="10"/>
        <v>157.64099999999999</v>
      </c>
      <c r="M14" s="507">
        <f t="shared" si="14"/>
        <v>3.9241540805691129</v>
      </c>
      <c r="N14" s="392">
        <f>IF(F14&lt;&gt;0,L14*100/F14,"-")</f>
        <v>82.478849363518876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302" t="s">
        <v>16</v>
      </c>
      <c r="B15" s="396">
        <f>SUM(B12:B14)</f>
        <v>2697.6150000000002</v>
      </c>
      <c r="C15" s="505">
        <f t="shared" ref="C15:M15" si="17">SUM(C12:C14)</f>
        <v>92.237222312831364</v>
      </c>
      <c r="D15" s="397">
        <f>SUM(D12:D14)</f>
        <v>828.43799999999999</v>
      </c>
      <c r="E15" s="505">
        <f t="shared" si="17"/>
        <v>95.599111444479703</v>
      </c>
      <c r="F15" s="397">
        <f t="shared" si="17"/>
        <v>3526.0529999999999</v>
      </c>
      <c r="G15" s="508">
        <f>SUM(G12:G14)</f>
        <v>93.005662551197204</v>
      </c>
      <c r="H15" s="396">
        <f>SUM(H12:H14)</f>
        <v>2779.0529999999999</v>
      </c>
      <c r="I15" s="505">
        <f>SUM(I12:I14)</f>
        <v>92.084099443629128</v>
      </c>
      <c r="J15" s="397">
        <f>SUM(J12:J14)</f>
        <v>959.23900000000003</v>
      </c>
      <c r="K15" s="505">
        <f t="shared" si="17"/>
        <v>95.996281196021812</v>
      </c>
      <c r="L15" s="397">
        <f t="shared" si="17"/>
        <v>3738.2919999999999</v>
      </c>
      <c r="M15" s="508">
        <f t="shared" si="17"/>
        <v>93.057223730875037</v>
      </c>
      <c r="N15" s="398">
        <f>IF(F15&lt;&gt;0,L15*100/F15,"-")</f>
        <v>106.01916647310748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s="126" customFormat="1" ht="14.1" customHeight="1" thickBot="1" x14ac:dyDescent="0.35">
      <c r="A16" s="79" t="s">
        <v>97</v>
      </c>
      <c r="B16" s="509">
        <f>B15+B10</f>
        <v>2924.6490000000003</v>
      </c>
      <c r="C16" s="662">
        <f t="shared" ref="C16:M16" si="18">C15+C10</f>
        <v>99.999999999999972</v>
      </c>
      <c r="D16" s="510">
        <f>D15+D10</f>
        <v>866.57500000000005</v>
      </c>
      <c r="E16" s="662">
        <f t="shared" si="18"/>
        <v>100</v>
      </c>
      <c r="F16" s="510">
        <f t="shared" si="18"/>
        <v>3791.2239999999997</v>
      </c>
      <c r="G16" s="663">
        <f>G15+G10</f>
        <v>100.00000000000001</v>
      </c>
      <c r="H16" s="509">
        <f t="shared" si="18"/>
        <v>3017.951</v>
      </c>
      <c r="I16" s="662">
        <f t="shared" si="18"/>
        <v>99.999999999999986</v>
      </c>
      <c r="J16" s="510">
        <f t="shared" si="18"/>
        <v>999.24599999999998</v>
      </c>
      <c r="K16" s="662">
        <f t="shared" si="18"/>
        <v>100.00000000000001</v>
      </c>
      <c r="L16" s="510">
        <f t="shared" si="18"/>
        <v>4017.1970000000001</v>
      </c>
      <c r="M16" s="663">
        <f t="shared" si="18"/>
        <v>100</v>
      </c>
      <c r="N16" s="511">
        <f>IF(F16&lt;&gt;0,L16*100/F16,"-")</f>
        <v>105.96042333557712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FW16"/>
  <sheetViews>
    <sheetView showGridLines="0" topLeftCell="A2" zoomScaleNormal="100" workbookViewId="0">
      <selection activeCell="A3" sqref="A3"/>
    </sheetView>
  </sheetViews>
  <sheetFormatPr defaultColWidth="8.6640625" defaultRowHeight="12" x14ac:dyDescent="0.25"/>
  <cols>
    <col min="1" max="1" width="27.5546875" style="3" customWidth="1"/>
    <col min="2" max="2" width="7.88671875" style="3" bestFit="1" customWidth="1"/>
    <col min="3" max="3" width="4.88671875" style="3" customWidth="1"/>
    <col min="4" max="4" width="7.44140625" style="3" customWidth="1"/>
    <col min="5" max="5" width="4.6640625" style="3" customWidth="1"/>
    <col min="6" max="6" width="9" style="3" bestFit="1" customWidth="1"/>
    <col min="7" max="7" width="5.33203125" style="3" customWidth="1"/>
    <col min="8" max="8" width="7.88671875" style="3" bestFit="1" customWidth="1"/>
    <col min="9" max="9" width="4.6640625" style="3" customWidth="1"/>
    <col min="10" max="10" width="7.109375" style="3" customWidth="1"/>
    <col min="11" max="11" width="5" style="3" customWidth="1"/>
    <col min="12" max="12" width="7.88671875" style="3" bestFit="1" customWidth="1"/>
    <col min="13" max="13" width="5.5546875" style="3" customWidth="1"/>
    <col min="14" max="14" width="6.88671875" style="3" customWidth="1"/>
    <col min="15" max="16384" width="8.6640625" style="3"/>
  </cols>
  <sheetData>
    <row r="1" spans="1:179" ht="14.4" hidden="1" x14ac:dyDescent="0.3">
      <c r="A1" s="143"/>
      <c r="B1" s="125"/>
      <c r="C1" s="125"/>
      <c r="D1" s="125"/>
      <c r="E1" s="125"/>
      <c r="F1" s="125"/>
      <c r="G1" s="125"/>
      <c r="H1" s="125"/>
      <c r="I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A2" s="143"/>
      <c r="B2" s="125"/>
      <c r="C2" s="125"/>
      <c r="D2" s="125"/>
      <c r="E2" s="125"/>
      <c r="F2" s="125"/>
      <c r="G2" s="125"/>
      <c r="H2" s="125"/>
      <c r="I2" s="1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87" t="s">
        <v>433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96" t="s">
        <v>315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35" t="s">
        <v>10</v>
      </c>
      <c r="B4" s="780" t="s">
        <v>562</v>
      </c>
      <c r="C4" s="781"/>
      <c r="D4" s="781"/>
      <c r="E4" s="781"/>
      <c r="F4" s="781"/>
      <c r="G4" s="782"/>
      <c r="H4" s="780" t="s">
        <v>588</v>
      </c>
      <c r="I4" s="781"/>
      <c r="J4" s="781"/>
      <c r="K4" s="781"/>
      <c r="L4" s="781"/>
      <c r="M4" s="782"/>
      <c r="N4" s="755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61.2" x14ac:dyDescent="0.3">
      <c r="A5" s="779"/>
      <c r="B5" s="722" t="s">
        <v>566</v>
      </c>
      <c r="C5" s="142" t="s">
        <v>3</v>
      </c>
      <c r="D5" s="723" t="s">
        <v>569</v>
      </c>
      <c r="E5" s="142" t="s">
        <v>3</v>
      </c>
      <c r="F5" s="142" t="s">
        <v>16</v>
      </c>
      <c r="G5" s="145" t="s">
        <v>3</v>
      </c>
      <c r="H5" s="722" t="s">
        <v>566</v>
      </c>
      <c r="I5" s="142" t="s">
        <v>3</v>
      </c>
      <c r="J5" s="723" t="s">
        <v>569</v>
      </c>
      <c r="K5" s="142" t="s">
        <v>3</v>
      </c>
      <c r="L5" s="142" t="s">
        <v>16</v>
      </c>
      <c r="M5" s="305" t="s">
        <v>3</v>
      </c>
      <c r="N5" s="78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1" customHeight="1" x14ac:dyDescent="0.3">
      <c r="A6" s="7" t="s">
        <v>408</v>
      </c>
      <c r="B6" s="299"/>
      <c r="C6" s="5"/>
      <c r="D6" s="8"/>
      <c r="E6" s="5"/>
      <c r="F6" s="8"/>
      <c r="G6" s="146"/>
      <c r="H6" s="299"/>
      <c r="I6" s="5"/>
      <c r="J6" s="8"/>
      <c r="K6" s="5"/>
      <c r="L6" s="8"/>
      <c r="M6" s="146"/>
      <c r="N6" s="5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55" t="s">
        <v>330</v>
      </c>
      <c r="B7" s="301">
        <v>14.868</v>
      </c>
      <c r="C7" s="8">
        <f>IF(B$15&gt;0,B7*100/B$15,0)</f>
        <v>0.80427779716165881</v>
      </c>
      <c r="D7" s="300">
        <v>16.219000000000001</v>
      </c>
      <c r="E7" s="8">
        <f>IF(D$15&gt;0,D7*100/D$15,0)</f>
        <v>2.3556700057660831</v>
      </c>
      <c r="F7" s="8">
        <f>B7+D7</f>
        <v>31.087000000000003</v>
      </c>
      <c r="G7" s="138">
        <f>IF(F$15&gt;0,F7*100/F$15,0)</f>
        <v>1.2252850077489312</v>
      </c>
      <c r="H7" s="301">
        <v>12.802</v>
      </c>
      <c r="I7" s="8">
        <f>IF(H$15&gt;0,H7*100/H$15,0)</f>
        <v>0.65460874829726057</v>
      </c>
      <c r="J7" s="300">
        <v>22.143999999999998</v>
      </c>
      <c r="K7" s="8">
        <f>IF(J$15&gt;0,J7*100/J$15,0)</f>
        <v>2.8243637082528199</v>
      </c>
      <c r="L7" s="8">
        <f>H7+J7</f>
        <v>34.945999999999998</v>
      </c>
      <c r="M7" s="138">
        <f>IF(L$15&gt;0,L7*100/L$15,0)</f>
        <v>1.275537858610428</v>
      </c>
      <c r="N7" s="5">
        <f>IF(F7&lt;&gt;0,L7*100/F7,"-")</f>
        <v>112.41354907195932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55" t="s">
        <v>331</v>
      </c>
      <c r="B8" s="301">
        <v>1.8779999999999999</v>
      </c>
      <c r="C8" s="8">
        <f t="shared" ref="C8:E12" si="0">IF(B$15&gt;0,B8*100/B$15,0)</f>
        <v>0.10158956840661791</v>
      </c>
      <c r="D8" s="300">
        <v>0.26600000000000001</v>
      </c>
      <c r="E8" s="8">
        <f t="shared" si="0"/>
        <v>3.8634208122188672E-2</v>
      </c>
      <c r="F8" s="8">
        <f t="shared" ref="F8:F11" si="1">B8+D8</f>
        <v>2.1440000000000001</v>
      </c>
      <c r="G8" s="138">
        <f t="shared" ref="G8:G14" si="2">IF(F$15&gt;0,F8*100/F$15,0)</f>
        <v>8.4505132583192602E-2</v>
      </c>
      <c r="H8" s="301">
        <v>1.6910000000000001</v>
      </c>
      <c r="I8" s="8">
        <f>IF(H$15&gt;0,H8*100/H$15,0)</f>
        <v>8.6466442225485676E-2</v>
      </c>
      <c r="J8" s="300">
        <v>0.35499999999999998</v>
      </c>
      <c r="K8" s="8">
        <f>IF(J$15&gt;0,J8*100/J$15,0)</f>
        <v>4.5278590879233707E-2</v>
      </c>
      <c r="L8" s="8">
        <f t="shared" ref="L8:L11" si="3">H8+J8</f>
        <v>2.0460000000000003</v>
      </c>
      <c r="M8" s="138">
        <f t="shared" ref="M8:M14" si="4">IF(L$15&gt;0,L8*100/L$15,0)</f>
        <v>7.4679518649257037E-2</v>
      </c>
      <c r="N8" s="5">
        <f t="shared" ref="N8:N15" si="5">IF(F8&lt;&gt;0,L8*100/F8,"-")</f>
        <v>95.429104477611943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55" t="s">
        <v>332</v>
      </c>
      <c r="B9" s="301">
        <v>33.536000000000001</v>
      </c>
      <c r="C9" s="8">
        <f t="shared" si="0"/>
        <v>1.8141148914187109</v>
      </c>
      <c r="D9" s="300">
        <v>16.759</v>
      </c>
      <c r="E9" s="8">
        <f t="shared" si="0"/>
        <v>2.4341003530818042</v>
      </c>
      <c r="F9" s="8">
        <f t="shared" si="1"/>
        <v>50.295000000000002</v>
      </c>
      <c r="G9" s="138">
        <f t="shared" si="2"/>
        <v>1.9823627067498468</v>
      </c>
      <c r="H9" s="301">
        <v>35.871000000000002</v>
      </c>
      <c r="I9" s="8">
        <f t="shared" ref="I9:K9" si="6">IF(H$15&gt;0,H9*100/H$15,0)</f>
        <v>1.8342032815318727</v>
      </c>
      <c r="J9" s="300">
        <v>17.289000000000001</v>
      </c>
      <c r="K9" s="8">
        <f t="shared" si="6"/>
        <v>2.2051311484818918</v>
      </c>
      <c r="L9" s="8">
        <f t="shared" si="3"/>
        <v>53.160000000000004</v>
      </c>
      <c r="M9" s="138">
        <f t="shared" si="4"/>
        <v>1.9403534757548893</v>
      </c>
      <c r="N9" s="5">
        <f t="shared" si="5"/>
        <v>105.69639129138085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55" t="s">
        <v>333</v>
      </c>
      <c r="B10" s="299">
        <v>62.287999999999997</v>
      </c>
      <c r="C10" s="8">
        <f t="shared" si="0"/>
        <v>3.3694414467046947</v>
      </c>
      <c r="D10" s="8">
        <v>23.001000000000001</v>
      </c>
      <c r="E10" s="8">
        <f t="shared" si="0"/>
        <v>3.340697071497976</v>
      </c>
      <c r="F10" s="141">
        <f t="shared" si="1"/>
        <v>85.289000000000001</v>
      </c>
      <c r="G10" s="138">
        <f t="shared" si="2"/>
        <v>3.3616409761604071</v>
      </c>
      <c r="H10" s="299">
        <v>67.269000000000005</v>
      </c>
      <c r="I10" s="8">
        <f t="shared" ref="I10:K10" si="7">IF(H$15&gt;0,H10*100/H$15,0)</f>
        <v>3.4396872277150776</v>
      </c>
      <c r="J10" s="8">
        <v>24.106000000000002</v>
      </c>
      <c r="K10" s="8">
        <f t="shared" si="7"/>
        <v>3.0746076386895997</v>
      </c>
      <c r="L10" s="141">
        <f t="shared" si="3"/>
        <v>91.375</v>
      </c>
      <c r="M10" s="138">
        <f t="shared" si="4"/>
        <v>3.3352106630380551</v>
      </c>
      <c r="N10" s="5">
        <f t="shared" si="5"/>
        <v>107.13573848913693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55" t="s">
        <v>334</v>
      </c>
      <c r="B11" s="301">
        <v>0</v>
      </c>
      <c r="C11" s="8">
        <f t="shared" si="0"/>
        <v>0</v>
      </c>
      <c r="D11" s="300">
        <v>0</v>
      </c>
      <c r="E11" s="8">
        <f t="shared" si="0"/>
        <v>0</v>
      </c>
      <c r="F11" s="8">
        <f t="shared" si="1"/>
        <v>0</v>
      </c>
      <c r="G11" s="138">
        <f t="shared" si="2"/>
        <v>0</v>
      </c>
      <c r="H11" s="301">
        <v>0</v>
      </c>
      <c r="I11" s="8">
        <f t="shared" ref="I11:K11" si="8">IF(H$15&gt;0,H11*100/H$15,0)</f>
        <v>0</v>
      </c>
      <c r="J11" s="300">
        <v>0</v>
      </c>
      <c r="K11" s="8">
        <f t="shared" si="8"/>
        <v>0</v>
      </c>
      <c r="L11" s="8">
        <f t="shared" si="3"/>
        <v>0</v>
      </c>
      <c r="M11" s="138">
        <f t="shared" si="4"/>
        <v>0</v>
      </c>
      <c r="N11" s="5" t="str">
        <f t="shared" si="5"/>
        <v>-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55" t="s">
        <v>413</v>
      </c>
      <c r="B12" s="301">
        <v>1710.96</v>
      </c>
      <c r="C12" s="8">
        <f t="shared" si="0"/>
        <v>92.553614462719381</v>
      </c>
      <c r="D12" s="300">
        <v>614.16200000000003</v>
      </c>
      <c r="E12" s="8">
        <f t="shared" si="0"/>
        <v>89.201738829848267</v>
      </c>
      <c r="F12" s="8">
        <f t="shared" ref="F12:F14" si="9">B12+D12</f>
        <v>2325.1220000000003</v>
      </c>
      <c r="G12" s="138">
        <f t="shared" si="2"/>
        <v>91.644003209933757</v>
      </c>
      <c r="H12" s="301">
        <v>1811.2439999999999</v>
      </c>
      <c r="I12" s="8">
        <f t="shared" ref="I12:K12" si="10">IF(H$15&gt;0,H12*100/H$15,0)</f>
        <v>92.614917020850129</v>
      </c>
      <c r="J12" s="300">
        <v>699.35799999999995</v>
      </c>
      <c r="K12" s="8">
        <f t="shared" si="10"/>
        <v>89.199844394701756</v>
      </c>
      <c r="L12" s="8">
        <f t="shared" ref="L12:L14" si="11">H12+J12</f>
        <v>2510.6019999999999</v>
      </c>
      <c r="M12" s="138">
        <f t="shared" si="4"/>
        <v>91.637609423197446</v>
      </c>
      <c r="N12" s="5">
        <f t="shared" si="5"/>
        <v>107.9772158192129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55" t="s">
        <v>335</v>
      </c>
      <c r="B13" s="301">
        <v>5.9340000000000002</v>
      </c>
      <c r="C13" s="8">
        <f>IF(B$15&gt;0,B13*100/B$15,0)</f>
        <v>0.32099707078001638</v>
      </c>
      <c r="D13" s="300">
        <v>0</v>
      </c>
      <c r="E13" s="8">
        <f>IF(D$15&gt;0,D13*100/D$15,0)</f>
        <v>0</v>
      </c>
      <c r="F13" s="8">
        <f t="shared" si="9"/>
        <v>5.9340000000000002</v>
      </c>
      <c r="G13" s="138">
        <f t="shared" si="2"/>
        <v>0.23388687348351905</v>
      </c>
      <c r="H13" s="301">
        <v>5.2350000000000003</v>
      </c>
      <c r="I13" s="8">
        <f>IF(H$15&gt;0,H13*100/H$15,0)</f>
        <v>0.2676829243349601</v>
      </c>
      <c r="J13" s="300">
        <v>2.9000000000000001E-2</v>
      </c>
      <c r="K13" s="8">
        <f>IF(J$15&gt;0,J13*100/J$15,0)</f>
        <v>3.698814466190923E-3</v>
      </c>
      <c r="L13" s="8">
        <f t="shared" si="11"/>
        <v>5.2640000000000002</v>
      </c>
      <c r="M13" s="138">
        <f t="shared" si="4"/>
        <v>0.19213733439378736</v>
      </c>
      <c r="N13" s="5">
        <f>IF(F13&lt;&gt;0,L13*100/F13,"-")</f>
        <v>88.709133805190419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4" x14ac:dyDescent="0.3">
      <c r="A14" s="55" t="s">
        <v>412</v>
      </c>
      <c r="B14" s="301">
        <v>19.151</v>
      </c>
      <c r="C14" s="8">
        <f>IF(B$15&gt;0,B14*100/B$15,0)</f>
        <v>1.0359647628089137</v>
      </c>
      <c r="D14" s="300">
        <v>18.102</v>
      </c>
      <c r="E14" s="8">
        <f>IF(D$15&gt;0,D14*100/D$15,0)</f>
        <v>2.6291595316836815</v>
      </c>
      <c r="F14" s="8">
        <f t="shared" si="9"/>
        <v>37.253</v>
      </c>
      <c r="G14" s="138">
        <f t="shared" si="2"/>
        <v>1.468316093340333</v>
      </c>
      <c r="H14" s="301">
        <v>21.56</v>
      </c>
      <c r="I14" s="8">
        <f>IF(H$15&gt;0,H14*100/H$15,0)</f>
        <v>1.1024343550452225</v>
      </c>
      <c r="J14" s="300">
        <v>20.754000000000001</v>
      </c>
      <c r="K14" s="8">
        <f>IF(J$15&gt;0,J14*100/J$15,0)</f>
        <v>2.6470757045284969</v>
      </c>
      <c r="L14" s="8">
        <f t="shared" si="11"/>
        <v>42.314</v>
      </c>
      <c r="M14" s="138">
        <f t="shared" si="4"/>
        <v>1.5444717263561394</v>
      </c>
      <c r="N14" s="5">
        <f t="shared" si="5"/>
        <v>113.58548304834508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s="135" customFormat="1" ht="14.1" customHeight="1" thickBot="1" x14ac:dyDescent="0.35">
      <c r="A15" s="120" t="s">
        <v>98</v>
      </c>
      <c r="B15" s="303">
        <f>SUM(B7:B14)</f>
        <v>1848.615</v>
      </c>
      <c r="C15" s="304">
        <f>SUM(C7:C14)</f>
        <v>99.999999999999986</v>
      </c>
      <c r="D15" s="304">
        <f>SUM(D7:D14)</f>
        <v>688.50900000000001</v>
      </c>
      <c r="E15" s="304">
        <f t="shared" ref="E15:M15" si="12">SUM(E7:E14)</f>
        <v>100</v>
      </c>
      <c r="F15" s="304">
        <f>SUM(F7:F14)</f>
        <v>2537.1240000000007</v>
      </c>
      <c r="G15" s="664">
        <f t="shared" si="12"/>
        <v>99.999999999999986</v>
      </c>
      <c r="H15" s="303">
        <f t="shared" si="12"/>
        <v>1955.6719999999998</v>
      </c>
      <c r="I15" s="304">
        <f t="shared" si="12"/>
        <v>100.00000000000001</v>
      </c>
      <c r="J15" s="304">
        <f t="shared" si="12"/>
        <v>784.03499999999997</v>
      </c>
      <c r="K15" s="304">
        <f t="shared" si="12"/>
        <v>100</v>
      </c>
      <c r="L15" s="304">
        <f t="shared" si="12"/>
        <v>2739.7069999999999</v>
      </c>
      <c r="M15" s="664">
        <f t="shared" si="12"/>
        <v>100</v>
      </c>
      <c r="N15" s="144">
        <f t="shared" si="5"/>
        <v>107.98474966142764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25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FW23"/>
  <sheetViews>
    <sheetView showGridLines="0" topLeftCell="A2" zoomScaleNormal="100" workbookViewId="0">
      <selection activeCell="A3" sqref="A3:F3"/>
    </sheetView>
  </sheetViews>
  <sheetFormatPr defaultColWidth="8.6640625" defaultRowHeight="12" x14ac:dyDescent="0.25"/>
  <cols>
    <col min="1" max="1" width="35.5546875" style="3" customWidth="1"/>
    <col min="2" max="7" width="8.5546875" style="3" customWidth="1"/>
    <col min="8" max="16384" width="8.6640625" style="3"/>
  </cols>
  <sheetData>
    <row r="1" spans="1:179" ht="14.4" hidden="1" x14ac:dyDescent="0.3">
      <c r="B1" s="125"/>
      <c r="C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2" s="163"/>
      <c r="D2" s="163"/>
      <c r="E2" s="163"/>
      <c r="F2" s="23"/>
      <c r="G2" s="23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787" t="s">
        <v>262</v>
      </c>
      <c r="B3" s="788"/>
      <c r="C3" s="788"/>
      <c r="D3" s="788"/>
      <c r="E3" s="788"/>
      <c r="F3" s="788"/>
      <c r="G3" s="296" t="s">
        <v>315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85" t="s">
        <v>10</v>
      </c>
      <c r="B4" s="737" t="s">
        <v>562</v>
      </c>
      <c r="C4" s="739"/>
      <c r="D4" s="737" t="s">
        <v>588</v>
      </c>
      <c r="E4" s="739"/>
      <c r="F4" s="751" t="s">
        <v>336</v>
      </c>
      <c r="G4" s="784" t="s">
        <v>337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24" x14ac:dyDescent="0.3">
      <c r="A5" s="786"/>
      <c r="B5" s="164" t="s">
        <v>95</v>
      </c>
      <c r="C5" s="165" t="s">
        <v>96</v>
      </c>
      <c r="D5" s="164" t="s">
        <v>95</v>
      </c>
      <c r="E5" s="165" t="s">
        <v>96</v>
      </c>
      <c r="F5" s="745"/>
      <c r="G5" s="784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2" customHeight="1" x14ac:dyDescent="0.3">
      <c r="A6" s="147" t="s">
        <v>583</v>
      </c>
      <c r="B6" s="148">
        <v>7595.16</v>
      </c>
      <c r="C6" s="149">
        <v>5792.91</v>
      </c>
      <c r="D6" s="148">
        <v>7740.107</v>
      </c>
      <c r="E6" s="149">
        <v>6056.5429999999997</v>
      </c>
      <c r="F6" s="5">
        <f>IF(B6&gt;0,D6*100/B6,"-")</f>
        <v>101.90841272599918</v>
      </c>
      <c r="G6" s="5">
        <f>IF(C6&gt;0,E6*100/C6,"-")</f>
        <v>104.5509597076426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2" customHeight="1" x14ac:dyDescent="0.3">
      <c r="A7" s="147" t="s">
        <v>99</v>
      </c>
      <c r="B7" s="150">
        <v>1181.5139999999999</v>
      </c>
      <c r="C7" s="151">
        <v>1904.1210000000001</v>
      </c>
      <c r="D7" s="150">
        <v>1201.183</v>
      </c>
      <c r="E7" s="151">
        <v>2102.5740000000001</v>
      </c>
      <c r="F7" s="9">
        <f t="shared" ref="F7:G10" si="0">IF(B7&gt;0,D7*100/B7,"-")</f>
        <v>101.66472847549839</v>
      </c>
      <c r="G7" s="5">
        <f t="shared" si="0"/>
        <v>110.4222893398056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2" customHeight="1" x14ac:dyDescent="0.3">
      <c r="A8" s="147" t="s">
        <v>414</v>
      </c>
      <c r="B8" s="148">
        <f>B6+B7</f>
        <v>8776.6739999999991</v>
      </c>
      <c r="C8" s="149">
        <f t="shared" ref="C8:E8" si="1">C6+C7</f>
        <v>7697.0309999999999</v>
      </c>
      <c r="D8" s="148">
        <f t="shared" si="1"/>
        <v>8941.2900000000009</v>
      </c>
      <c r="E8" s="149">
        <f t="shared" si="1"/>
        <v>8159.1170000000002</v>
      </c>
      <c r="F8" s="5">
        <f t="shared" si="0"/>
        <v>101.87560800366975</v>
      </c>
      <c r="G8" s="5">
        <f t="shared" si="0"/>
        <v>106.00343171282539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4" x14ac:dyDescent="0.3">
      <c r="A9" s="147" t="s">
        <v>584</v>
      </c>
      <c r="B9" s="150">
        <v>454.61599999999999</v>
      </c>
      <c r="C9" s="151">
        <v>280.202</v>
      </c>
      <c r="D9" s="150">
        <v>624.79899999999998</v>
      </c>
      <c r="E9" s="151">
        <v>282.13099999999997</v>
      </c>
      <c r="F9" s="9">
        <f t="shared" si="0"/>
        <v>137.43445017333309</v>
      </c>
      <c r="G9" s="5">
        <f t="shared" si="0"/>
        <v>100.68843191697418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s="135" customFormat="1" ht="12" customHeight="1" thickBot="1" x14ac:dyDescent="0.35">
      <c r="A10" s="152" t="s">
        <v>125</v>
      </c>
      <c r="B10" s="153">
        <f>B8-B9</f>
        <v>8322.0579999999991</v>
      </c>
      <c r="C10" s="154">
        <f t="shared" ref="C10:E10" si="2">C8-C9</f>
        <v>7416.8289999999997</v>
      </c>
      <c r="D10" s="153">
        <f t="shared" si="2"/>
        <v>8316.4910000000018</v>
      </c>
      <c r="E10" s="154">
        <f t="shared" si="2"/>
        <v>7876.9859999999999</v>
      </c>
      <c r="F10" s="155">
        <f t="shared" si="0"/>
        <v>99.933105489050945</v>
      </c>
      <c r="G10" s="156">
        <f t="shared" si="0"/>
        <v>106.20422824902664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8" spans="1:7" x14ac:dyDescent="0.25">
      <c r="A18" s="166"/>
      <c r="B18" s="166"/>
      <c r="C18" s="166"/>
      <c r="D18" s="166"/>
      <c r="E18" s="166"/>
      <c r="F18" s="166"/>
      <c r="G18" s="166"/>
    </row>
    <row r="19" spans="1:7" x14ac:dyDescent="0.25">
      <c r="A19" s="26"/>
      <c r="B19" s="21"/>
      <c r="C19" s="21"/>
      <c r="D19" s="21"/>
      <c r="E19" s="21"/>
      <c r="F19" s="21"/>
      <c r="G19" s="21"/>
    </row>
    <row r="20" spans="1:7" x14ac:dyDescent="0.25">
      <c r="A20" s="26"/>
      <c r="B20" s="158"/>
      <c r="C20" s="158"/>
      <c r="D20" s="158"/>
      <c r="E20" s="158"/>
      <c r="F20" s="157"/>
      <c r="G20" s="21"/>
    </row>
    <row r="21" spans="1:7" x14ac:dyDescent="0.25">
      <c r="A21" s="26"/>
      <c r="B21" s="21"/>
      <c r="C21" s="21"/>
      <c r="D21" s="21"/>
      <c r="E21" s="21"/>
      <c r="F21" s="21"/>
      <c r="G21" s="21"/>
    </row>
    <row r="22" spans="1:7" x14ac:dyDescent="0.25">
      <c r="A22" s="26"/>
      <c r="B22" s="158"/>
      <c r="C22" s="158"/>
      <c r="D22" s="158"/>
      <c r="E22" s="158"/>
      <c r="F22" s="157"/>
      <c r="G22" s="21"/>
    </row>
    <row r="23" spans="1:7" x14ac:dyDescent="0.25">
      <c r="A23" s="27"/>
      <c r="B23" s="159"/>
      <c r="C23" s="159"/>
      <c r="D23" s="159"/>
      <c r="E23" s="159"/>
      <c r="F23" s="160"/>
      <c r="G23" s="161"/>
    </row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Q39"/>
  <sheetViews>
    <sheetView zoomScaleNormal="100" workbookViewId="0"/>
  </sheetViews>
  <sheetFormatPr defaultRowHeight="14.4" x14ac:dyDescent="0.3"/>
  <cols>
    <col min="1" max="1" width="16.33203125" bestFit="1" customWidth="1"/>
    <col min="2" max="2" width="89.44140625" customWidth="1"/>
    <col min="6" max="6" width="6.5546875" customWidth="1"/>
  </cols>
  <sheetData>
    <row r="1" spans="1:173" s="41" customFormat="1" ht="15.75" customHeight="1" thickBot="1" x14ac:dyDescent="0.35">
      <c r="A1" s="45" t="s">
        <v>306</v>
      </c>
      <c r="B1" s="45"/>
      <c r="C1" s="30"/>
      <c r="D1" s="30"/>
      <c r="E1" s="30"/>
      <c r="F1" s="30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</row>
    <row r="2" spans="1:173" ht="15" thickTop="1" x14ac:dyDescent="0.3">
      <c r="A2" s="43" t="s">
        <v>459</v>
      </c>
      <c r="B2" s="1" t="s">
        <v>253</v>
      </c>
    </row>
    <row r="3" spans="1:173" x14ac:dyDescent="0.3">
      <c r="A3" s="43" t="s">
        <v>275</v>
      </c>
      <c r="B3" s="1" t="s">
        <v>254</v>
      </c>
      <c r="C3" s="43"/>
      <c r="D3" s="1"/>
    </row>
    <row r="4" spans="1:173" x14ac:dyDescent="0.3">
      <c r="A4" s="43" t="s">
        <v>276</v>
      </c>
      <c r="B4" s="1" t="s">
        <v>255</v>
      </c>
      <c r="C4" s="43"/>
      <c r="D4" s="46"/>
    </row>
    <row r="5" spans="1:173" x14ac:dyDescent="0.3">
      <c r="A5" s="43" t="s">
        <v>204</v>
      </c>
      <c r="B5" s="1" t="s">
        <v>391</v>
      </c>
      <c r="C5" s="43"/>
      <c r="D5" s="46"/>
    </row>
    <row r="6" spans="1:173" x14ac:dyDescent="0.3">
      <c r="A6" s="43" t="s">
        <v>277</v>
      </c>
      <c r="B6" s="1" t="s">
        <v>256</v>
      </c>
    </row>
    <row r="7" spans="1:173" x14ac:dyDescent="0.3">
      <c r="A7" s="43" t="s">
        <v>205</v>
      </c>
      <c r="B7" s="1" t="s">
        <v>257</v>
      </c>
    </row>
    <row r="8" spans="1:173" x14ac:dyDescent="0.3">
      <c r="A8" s="43" t="s">
        <v>278</v>
      </c>
      <c r="B8" s="1" t="s">
        <v>258</v>
      </c>
    </row>
    <row r="9" spans="1:173" x14ac:dyDescent="0.3">
      <c r="A9" s="43" t="s">
        <v>279</v>
      </c>
      <c r="B9" s="1" t="s">
        <v>428</v>
      </c>
    </row>
    <row r="10" spans="1:173" x14ac:dyDescent="0.3">
      <c r="A10" s="43" t="s">
        <v>206</v>
      </c>
      <c r="B10" s="1" t="s">
        <v>307</v>
      </c>
    </row>
    <row r="11" spans="1:173" x14ac:dyDescent="0.3">
      <c r="A11" s="43" t="s">
        <v>280</v>
      </c>
      <c r="B11" s="1" t="s">
        <v>259</v>
      </c>
    </row>
    <row r="12" spans="1:173" x14ac:dyDescent="0.3">
      <c r="A12" s="43" t="s">
        <v>207</v>
      </c>
      <c r="B12" s="1" t="s">
        <v>260</v>
      </c>
    </row>
    <row r="13" spans="1:173" x14ac:dyDescent="0.3">
      <c r="A13" s="43" t="s">
        <v>281</v>
      </c>
      <c r="B13" s="1" t="s">
        <v>261</v>
      </c>
    </row>
    <row r="14" spans="1:173" x14ac:dyDescent="0.3">
      <c r="A14" s="43" t="s">
        <v>282</v>
      </c>
      <c r="B14" s="1" t="s">
        <v>309</v>
      </c>
    </row>
    <row r="15" spans="1:173" x14ac:dyDescent="0.3">
      <c r="A15" s="43" t="s">
        <v>283</v>
      </c>
      <c r="B15" s="1" t="s">
        <v>308</v>
      </c>
    </row>
    <row r="16" spans="1:173" x14ac:dyDescent="0.3">
      <c r="A16" s="43" t="s">
        <v>284</v>
      </c>
      <c r="B16" s="1" t="s">
        <v>432</v>
      </c>
    </row>
    <row r="17" spans="1:6" x14ac:dyDescent="0.3">
      <c r="A17" s="43" t="s">
        <v>285</v>
      </c>
      <c r="B17" s="1" t="s">
        <v>433</v>
      </c>
    </row>
    <row r="18" spans="1:6" x14ac:dyDescent="0.3">
      <c r="A18" s="43" t="s">
        <v>286</v>
      </c>
      <c r="B18" s="1" t="s">
        <v>262</v>
      </c>
    </row>
    <row r="19" spans="1:6" x14ac:dyDescent="0.3">
      <c r="A19" s="43" t="s">
        <v>208</v>
      </c>
      <c r="B19" s="1" t="s">
        <v>310</v>
      </c>
    </row>
    <row r="20" spans="1:6" x14ac:dyDescent="0.3">
      <c r="A20" s="43" t="s">
        <v>287</v>
      </c>
      <c r="B20" s="1" t="s">
        <v>263</v>
      </c>
    </row>
    <row r="21" spans="1:6" x14ac:dyDescent="0.3">
      <c r="A21" s="43" t="s">
        <v>288</v>
      </c>
      <c r="B21" s="1" t="s">
        <v>264</v>
      </c>
    </row>
    <row r="22" spans="1:6" x14ac:dyDescent="0.3">
      <c r="A22" s="43" t="s">
        <v>289</v>
      </c>
      <c r="B22" s="1" t="s">
        <v>265</v>
      </c>
    </row>
    <row r="23" spans="1:6" x14ac:dyDescent="0.3">
      <c r="A23" s="43" t="s">
        <v>290</v>
      </c>
      <c r="B23" s="1" t="s">
        <v>266</v>
      </c>
    </row>
    <row r="24" spans="1:6" x14ac:dyDescent="0.3">
      <c r="A24" s="43" t="s">
        <v>291</v>
      </c>
      <c r="B24" s="1" t="s">
        <v>267</v>
      </c>
    </row>
    <row r="25" spans="1:6" x14ac:dyDescent="0.3">
      <c r="A25" s="43" t="s">
        <v>292</v>
      </c>
      <c r="B25" s="1" t="s">
        <v>268</v>
      </c>
      <c r="C25" s="44"/>
    </row>
    <row r="26" spans="1:6" x14ac:dyDescent="0.3">
      <c r="A26" s="43" t="s">
        <v>293</v>
      </c>
      <c r="B26" s="1" t="s">
        <v>269</v>
      </c>
      <c r="C26" s="44"/>
    </row>
    <row r="27" spans="1:6" x14ac:dyDescent="0.3">
      <c r="A27" s="43" t="s">
        <v>294</v>
      </c>
      <c r="B27" s="1" t="s">
        <v>270</v>
      </c>
      <c r="C27" s="44"/>
    </row>
    <row r="28" spans="1:6" x14ac:dyDescent="0.3">
      <c r="A28" s="43" t="s">
        <v>295</v>
      </c>
      <c r="B28" s="721" t="s">
        <v>5</v>
      </c>
      <c r="C28" s="44"/>
    </row>
    <row r="29" spans="1:6" x14ac:dyDescent="0.3">
      <c r="A29" s="43" t="s">
        <v>296</v>
      </c>
      <c r="B29" s="721" t="s">
        <v>271</v>
      </c>
      <c r="C29" s="44"/>
    </row>
    <row r="30" spans="1:6" x14ac:dyDescent="0.3">
      <c r="A30" s="43" t="s">
        <v>297</v>
      </c>
      <c r="B30" s="721" t="s">
        <v>272</v>
      </c>
      <c r="C30" s="44"/>
      <c r="D30" s="43"/>
      <c r="E30" s="721"/>
      <c r="F30" s="725"/>
    </row>
    <row r="31" spans="1:6" x14ac:dyDescent="0.3">
      <c r="A31" s="43" t="s">
        <v>298</v>
      </c>
      <c r="B31" s="721" t="s">
        <v>273</v>
      </c>
      <c r="C31" s="44"/>
      <c r="D31" s="43"/>
      <c r="E31" s="721"/>
    </row>
    <row r="32" spans="1:6" x14ac:dyDescent="0.3">
      <c r="A32" s="43" t="s">
        <v>299</v>
      </c>
      <c r="B32" s="721" t="s">
        <v>395</v>
      </c>
      <c r="C32" s="44"/>
      <c r="D32" s="43"/>
      <c r="E32" s="721"/>
    </row>
    <row r="33" spans="1:5" x14ac:dyDescent="0.3">
      <c r="A33" s="43" t="s">
        <v>300</v>
      </c>
      <c r="B33" s="1" t="s">
        <v>557</v>
      </c>
      <c r="C33" s="44"/>
      <c r="D33" s="43"/>
      <c r="E33" s="721"/>
    </row>
    <row r="34" spans="1:5" x14ac:dyDescent="0.3">
      <c r="A34" s="43" t="s">
        <v>301</v>
      </c>
      <c r="B34" s="721" t="s">
        <v>348</v>
      </c>
      <c r="C34" s="44"/>
      <c r="D34" s="43"/>
      <c r="E34" s="721"/>
    </row>
    <row r="35" spans="1:5" x14ac:dyDescent="0.3">
      <c r="A35" s="43" t="s">
        <v>302</v>
      </c>
      <c r="B35" s="721" t="s">
        <v>360</v>
      </c>
      <c r="C35" s="44"/>
      <c r="D35" s="43"/>
      <c r="E35" s="721"/>
    </row>
    <row r="36" spans="1:5" x14ac:dyDescent="0.3">
      <c r="A36" s="43" t="s">
        <v>303</v>
      </c>
      <c r="B36" s="721" t="s">
        <v>312</v>
      </c>
      <c r="C36" s="44"/>
      <c r="D36" s="43"/>
      <c r="E36" s="721"/>
    </row>
    <row r="37" spans="1:5" x14ac:dyDescent="0.3">
      <c r="A37" s="42" t="s">
        <v>304</v>
      </c>
      <c r="B37" s="1" t="s">
        <v>274</v>
      </c>
    </row>
    <row r="38" spans="1:5" x14ac:dyDescent="0.3">
      <c r="A38" s="42" t="s">
        <v>305</v>
      </c>
      <c r="B38" s="1" t="s">
        <v>460</v>
      </c>
    </row>
    <row r="39" spans="1:5" x14ac:dyDescent="0.3">
      <c r="A39" s="42" t="s">
        <v>416</v>
      </c>
      <c r="B39" s="1" t="s">
        <v>261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8" type="noConversion"/>
  <conditionalFormatting sqref="A30:A36">
    <cfRule type="cellIs" dxfId="3" priority="17" operator="equal">
      <formula>"ne"</formula>
    </cfRule>
    <cfRule type="cellIs" dxfId="2" priority="18" operator="equal">
      <formula>"da"</formula>
    </cfRule>
  </conditionalFormatting>
  <conditionalFormatting sqref="D32:D36">
    <cfRule type="cellIs" dxfId="1" priority="35" operator="equal">
      <formula>"ne"</formula>
    </cfRule>
    <cfRule type="cellIs" dxfId="0" priority="36" operator="equal">
      <formula>"da"</formula>
    </cfRule>
  </conditionalFormatting>
  <hyperlinks>
    <hyperlink ref="B2" location="'Tab 0'!B2" display="Банке РС и организациони дијелови банака из ФБиХ у РС" xr:uid="{23897FDB-8C76-4924-9A61-A8EBBC484634}"/>
    <hyperlink ref="B3" location="'Tab 1'!A1" display="Тржишно учешће банака у укупној активи, капиталу и депозитима" xr:uid="{13799787-3051-4FA6-A68D-90D8304A324F}"/>
    <hyperlink ref="B4" location="'Tab 2'!A2" display="Актива по запосленом" xr:uid="{14C68D82-E2A3-4C18-9E50-204A59E10664}"/>
    <hyperlink ref="B5" location="'Tab 3'!A3" display="Биланс стања" xr:uid="{C99F518C-22DD-452F-BDFD-1DF139B015A2}"/>
    <hyperlink ref="B6" location="'Tab 4'!A3" display="Секторска структура депозита" xr:uid="{18FE5D01-027E-4592-94E4-E991D6829106}"/>
    <hyperlink ref="B7" location="'Tab 5'!A3" display="Структура депозита по валути" xr:uid="{817CC80B-E14B-4951-AA42-17A9978B201C}"/>
    <hyperlink ref="B8" location="'Tab 6'!A3" display="Рочна структура депозита" xr:uid="{A6BECD2F-7F50-4DCD-9F74-2086EC79BE93}"/>
    <hyperlink ref="B9" location="'Tab 7'!A3" display="Кредити и штедња грађана" xr:uid="{04E31614-44D3-498C-8710-B41EFFA3080A}"/>
    <hyperlink ref="B10" location="'Tab 8'!A3" display="Рочна и секторска структура депозита" xr:uid="{72D8D816-A610-4EBD-91F6-56207770503D}"/>
    <hyperlink ref="B11" location="'Tab 9'!A3" display="Структура ванбилансне активе" xr:uid="{CF3305F3-A856-49E0-B4C2-4EC3A80FA7EB}"/>
    <hyperlink ref="B12" location="'Tab 10'!A3" display="Структура новчаних средстава" xr:uid="{27DCD2DF-2939-4A3E-992D-E455D434A646}"/>
    <hyperlink ref="B13" location="'Tab 11'!A3" display="Секторска структура укупних кредита" xr:uid="{9775DE16-F738-483B-A456-40CD68F86ACE}"/>
    <hyperlink ref="B14" location="'Tab 12'!A3" display="Рочна структура кредита" xr:uid="{B4EF1203-DC6D-4DA0-B7B1-A82F459168E0}"/>
    <hyperlink ref="B15" location="'Tab 13'!A3" display="Рочна и секторска структура кредита" xr:uid="{E21C54B1-DADB-412A-90F1-F20268DBE101}"/>
    <hyperlink ref="B16" location="'Tab 14'!A3" display="Структура кредита грађанима банака РС и посл. јединица банака из ФБиХ" xr:uid="{1C7AF4DF-62AC-4FAD-91B5-6CAD2198DAA9}"/>
    <hyperlink ref="B17" location="'Tab 15'!A3" display="Намјенска структура кредита грађанима за општу потрошњу" xr:uid="{1C2AEA97-D8ED-46A2-B43E-0467DC7F77CB}"/>
    <hyperlink ref="B18" location="'Tab 16'!A3" display="Прикупљени депозити и пласирани кредити" xr:uid="{0CB73D67-E0DE-411B-8438-57F24A46F518}"/>
    <hyperlink ref="B19" location="'Tab 17'!A4" display="Задуженост становништва по кредитима (осим кредита за обављање дјелатности)" xr:uid="{5A43CB3E-EB39-412B-8E2C-6964D5F5168A}"/>
    <hyperlink ref="B20" location="'Tab 18'!A2" display="Биланс успјеха банкарског сектора РС" xr:uid="{63269F93-F33F-4A44-B1E0-9DE48ACBB889}"/>
    <hyperlink ref="B21" location="'Tab 19'!A2" display="ROAA и ROAE показатељи" xr:uid="{4FC846E7-47CF-4FF4-9D0A-9B5F5A97E847}"/>
    <hyperlink ref="B22" location="'Tab 20'!A4" display="Укупна финансијска имовина према начину вредновања и ЕCL" xr:uid="{9406222A-433B-4EEF-AD51-A57A41AB2C62}"/>
    <hyperlink ref="B23" location="'Tab 21'!A4" display="Укупна финансијска имовина према нивоима кредитног ризика" xr:uid="{1746E247-58E0-4D66-B20A-30F2F59E7735}"/>
    <hyperlink ref="B24" location="'Tab 22'!A4" display="Преглед кредита правним и физичким лицима према нивоу кредитног ризика и припадајући ECL" xr:uid="{5B8B82C6-8573-4680-AC41-379CA80D1262}"/>
    <hyperlink ref="B25" location="'Tab 23'!A1" display="Просјечне пондерисане каматне стопе на кредите" xr:uid="{3417EEC9-6383-4793-8338-9301A689C0C0}"/>
    <hyperlink ref="B26" location="'Tab 24'!A3" display="Просјечне пондерисане каматне стопе на депозите" xr:uid="{B2347616-912D-420A-A0F4-FB8BB1D57457}"/>
    <hyperlink ref="B27" location="'Tab 25'!B2" display="Просјечне пондерисане каматне стопе на прекорачења и депозите по виђењу" xr:uid="{2C26D60E-B83E-44A9-A199-FCE42A0BDCD7}"/>
    <hyperlink ref="B28" location="'Tab 26'!B2" display="Структура капитала" xr:uid="{4DBB66FA-8749-4C32-A11C-B69DB4DB443C}"/>
    <hyperlink ref="B29" location="'Tab 27'!A1" display="Укупна изложеност банкарског сектора ризику " xr:uid="{9AE5C663-9812-4561-9053-2DFF79213795}"/>
    <hyperlink ref="B30" location="'Tab 28'!B2" display="Показатељи адекватности капитала" xr:uid="{C4A07F12-AD8E-443E-8675-44F9A6811E3F}"/>
    <hyperlink ref="B31" location="'Tab 29'!B2" display="Стопа финансијске полуге" xr:uid="{F7D43238-2312-40BB-9887-B379504796BC}"/>
    <hyperlink ref="B32" location="'Tab 30'!B2" display="Коефицијент покрића ликвидности - LCR" xr:uid="{2D9BD2BE-7E14-4474-9492-4AA5999E759F}"/>
    <hyperlink ref="B33" location="'Tab 31'!A2" display="Коефицијент нето стабилних извора финансирања - NSFR" xr:uid="{3B12A476-94AE-4121-883B-C4BCF3CDC187}"/>
    <hyperlink ref="B34" location="'Tab 32'!B2" display="Рочна структура депозита по преосталом доспијећу" xr:uid="{843C94BF-5684-40FE-989D-28686EE21A6B}"/>
    <hyperlink ref="B35" location="'Tab 33'!B2" display="Показатељи ликвидности" xr:uid="{FD8D750B-1F6E-41AA-9A2E-F22D20772C77}"/>
    <hyperlink ref="B36" location="'Tab 34'!B2" display="Унутрашњи платни промет" xr:uid="{D83B1EEE-B756-4720-95FD-D947124E80E7}"/>
    <hyperlink ref="B37" location="'Pr 1'!B2" display="Основни подаци о банкама" xr:uid="{3894EE86-170A-4781-B899-ACC2FC488CA1}"/>
    <hyperlink ref="B38" location="'Pr 2'!A2" display="Биланс успјеха" xr:uid="{9FE591E0-6B0A-4C82-A5A0-7ABA7B4E80CF}"/>
    <hyperlink ref="B39" location="'Pr 3'!A2" display="Секторска структура укупних кредита" xr:uid="{5353C855-3CBC-4313-998D-D90F03215B66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FW10"/>
  <sheetViews>
    <sheetView showGridLines="0" topLeftCell="B3" zoomScaleNormal="100" workbookViewId="0">
      <selection activeCell="B4" sqref="B4"/>
    </sheetView>
  </sheetViews>
  <sheetFormatPr defaultColWidth="9.109375" defaultRowHeight="12" x14ac:dyDescent="0.25"/>
  <cols>
    <col min="1" max="1" width="4.5546875" style="23" hidden="1" customWidth="1"/>
    <col min="2" max="2" width="45" style="3" customWidth="1"/>
    <col min="3" max="6" width="10.5546875" style="3" customWidth="1"/>
    <col min="7" max="7" width="9.109375" style="3"/>
    <col min="8" max="8" width="10.5546875" style="3" customWidth="1"/>
    <col min="9" max="16384" width="9.109375" style="3"/>
  </cols>
  <sheetData>
    <row r="1" spans="2:179" ht="14.4" hidden="1" x14ac:dyDescent="0.3">
      <c r="B1" s="162"/>
      <c r="C1" s="162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2:179" ht="14.4" hidden="1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2:179" ht="14.4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2:179" ht="14.4" customHeight="1" x14ac:dyDescent="0.25">
      <c r="B4" s="124" t="s">
        <v>310</v>
      </c>
      <c r="C4" s="48"/>
      <c r="D4" s="48"/>
      <c r="E4" s="48"/>
      <c r="F4" s="296" t="s">
        <v>315</v>
      </c>
    </row>
    <row r="5" spans="2:179" ht="15" customHeight="1" x14ac:dyDescent="0.25">
      <c r="B5" s="197" t="s">
        <v>10</v>
      </c>
      <c r="C5" s="574" t="s">
        <v>561</v>
      </c>
      <c r="D5" s="267" t="s">
        <v>562</v>
      </c>
      <c r="E5" s="575" t="s">
        <v>588</v>
      </c>
      <c r="F5" s="169" t="s">
        <v>9</v>
      </c>
    </row>
    <row r="6" spans="2:179" ht="12" customHeight="1" x14ac:dyDescent="0.25">
      <c r="B6" s="167" t="s">
        <v>528</v>
      </c>
      <c r="C6" s="576"/>
      <c r="D6" s="493"/>
      <c r="E6" s="577"/>
      <c r="F6" s="168" t="str">
        <f>IF(D6&gt;0,E6*100/D6,"-")</f>
        <v>-</v>
      </c>
    </row>
    <row r="7" spans="2:179" ht="12" customHeight="1" x14ac:dyDescent="0.25">
      <c r="B7" s="611" t="s">
        <v>570</v>
      </c>
      <c r="C7" s="576">
        <v>2591.2620000000002</v>
      </c>
      <c r="D7" s="273">
        <v>2712.462</v>
      </c>
      <c r="E7" s="578">
        <v>2836.4270000000001</v>
      </c>
      <c r="F7" s="168">
        <f t="shared" ref="F7" si="0">IF(D7&gt;0,E7*100/D7,"-")</f>
        <v>104.57020227380144</v>
      </c>
    </row>
    <row r="8" spans="2:179" ht="12" customHeight="1" x14ac:dyDescent="0.25">
      <c r="B8" s="611" t="s">
        <v>571</v>
      </c>
      <c r="C8" s="576">
        <v>111.70699999999999</v>
      </c>
      <c r="D8" s="273">
        <v>111.46299999999999</v>
      </c>
      <c r="E8" s="578">
        <v>97.466999999999999</v>
      </c>
      <c r="F8" s="168">
        <f>IF(D8&gt;0,E8*100/D8,"-")</f>
        <v>87.443366857163369</v>
      </c>
    </row>
    <row r="9" spans="2:179" ht="12" customHeight="1" x14ac:dyDescent="0.25">
      <c r="B9" s="611" t="s">
        <v>572</v>
      </c>
      <c r="C9" s="620">
        <v>771.43299999999999</v>
      </c>
      <c r="D9" s="621">
        <v>850.625</v>
      </c>
      <c r="E9" s="622">
        <v>985.399</v>
      </c>
      <c r="F9" s="168">
        <f t="shared" ref="F9" si="1">IF(D9&gt;0,E9*100/D9,"-")</f>
        <v>115.84411462160176</v>
      </c>
    </row>
    <row r="10" spans="2:179" ht="12" customHeight="1" thickBot="1" x14ac:dyDescent="0.3">
      <c r="B10" s="579" t="s">
        <v>150</v>
      </c>
      <c r="C10" s="580">
        <f>C7-C8+C9</f>
        <v>3250.9880000000003</v>
      </c>
      <c r="D10" s="581">
        <f>D7-D8+D9</f>
        <v>3451.6239999999998</v>
      </c>
      <c r="E10" s="582">
        <f>E7-E8+E9</f>
        <v>3724.3589999999999</v>
      </c>
      <c r="F10" s="583">
        <f>IF(D10&gt;0,E10*100/D10,"-")</f>
        <v>107.90164282088662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32F-3E4D-410C-8F47-7BC9B49271EC}">
  <sheetPr codeName="Sheet76"/>
  <dimension ref="A1:FV21"/>
  <sheetViews>
    <sheetView showGridLines="0" zoomScaleNormal="100" workbookViewId="0">
      <selection activeCell="A2" sqref="A2"/>
    </sheetView>
  </sheetViews>
  <sheetFormatPr defaultColWidth="8.6640625" defaultRowHeight="12" x14ac:dyDescent="0.25"/>
  <cols>
    <col min="1" max="1" width="49.33203125" style="3" bestFit="1" customWidth="1"/>
    <col min="2" max="4" width="8.6640625" style="3" bestFit="1" customWidth="1"/>
    <col min="5" max="5" width="7.44140625" style="3" bestFit="1" customWidth="1"/>
    <col min="6" max="6" width="6.6640625" style="3" customWidth="1"/>
    <col min="7" max="7" width="8.6640625" style="3" customWidth="1"/>
    <col min="8" max="16384" width="8.6640625" style="3"/>
  </cols>
  <sheetData>
    <row r="1" spans="1:178" ht="14.4" x14ac:dyDescent="0.3">
      <c r="A1" s="143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4.4" x14ac:dyDescent="0.3">
      <c r="A2" s="48" t="s">
        <v>263</v>
      </c>
      <c r="B2" s="48"/>
      <c r="C2" s="48"/>
      <c r="D2" s="48"/>
      <c r="E2" s="48"/>
      <c r="F2" s="296" t="s">
        <v>315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78" ht="14.4" x14ac:dyDescent="0.3">
      <c r="A3" s="789" t="s">
        <v>10</v>
      </c>
      <c r="B3" s="791" t="s">
        <v>562</v>
      </c>
      <c r="C3" s="792"/>
      <c r="D3" s="791" t="s">
        <v>588</v>
      </c>
      <c r="E3" s="792"/>
      <c r="F3" s="793" t="s">
        <v>9</v>
      </c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</row>
    <row r="4" spans="1:178" ht="14.4" x14ac:dyDescent="0.3">
      <c r="A4" s="790"/>
      <c r="B4" s="669" t="s">
        <v>2</v>
      </c>
      <c r="C4" s="670" t="s">
        <v>3</v>
      </c>
      <c r="D4" s="669" t="s">
        <v>2</v>
      </c>
      <c r="E4" s="670" t="s">
        <v>3</v>
      </c>
      <c r="F4" s="79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ht="14.1" customHeight="1" x14ac:dyDescent="0.3">
      <c r="A5" s="671" t="s">
        <v>539</v>
      </c>
      <c r="B5" s="677"/>
      <c r="C5" s="672"/>
      <c r="D5" s="677"/>
      <c r="E5" s="672"/>
      <c r="F5" s="673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ht="14.1" customHeight="1" x14ac:dyDescent="0.3">
      <c r="A6" s="674" t="s">
        <v>103</v>
      </c>
      <c r="B6" s="170">
        <v>329.55599999999998</v>
      </c>
      <c r="C6" s="675">
        <f>IF(B$8&lt;&gt;0,B6*100/B$8,0)</f>
        <v>60.010597946329227</v>
      </c>
      <c r="D6" s="170">
        <v>409.43</v>
      </c>
      <c r="E6" s="675">
        <f>IF(D$8&lt;&gt;0,D6*100/D$8,0)</f>
        <v>62.971405017656544</v>
      </c>
      <c r="F6" s="676">
        <f>IF(B6&lt;&gt;0,D6/B6*100,"-")</f>
        <v>124.23685200694268</v>
      </c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ht="14.1" customHeight="1" x14ac:dyDescent="0.3">
      <c r="A7" s="674" t="s">
        <v>540</v>
      </c>
      <c r="B7" s="170">
        <v>219.607</v>
      </c>
      <c r="C7" s="675">
        <f>IF(B$8&lt;&gt;0,B7*100/B$8,0)</f>
        <v>39.989402053670766</v>
      </c>
      <c r="D7" s="170">
        <v>240.75399999999999</v>
      </c>
      <c r="E7" s="675">
        <f>IF(D$8&lt;&gt;0,D7*100/D$8,0)</f>
        <v>37.028594982343456</v>
      </c>
      <c r="F7" s="676">
        <f>IF(B7&lt;&gt;0,D7/B7*100,"-")</f>
        <v>109.62947447030376</v>
      </c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ht="14.1" customHeight="1" x14ac:dyDescent="0.3">
      <c r="A8" s="671" t="s">
        <v>541</v>
      </c>
      <c r="B8" s="677">
        <f>SUM(B6:B7)</f>
        <v>549.16300000000001</v>
      </c>
      <c r="C8" s="678">
        <f>SUM(C6:C7)</f>
        <v>100</v>
      </c>
      <c r="D8" s="677">
        <f>SUM(D6:D7)</f>
        <v>650.18399999999997</v>
      </c>
      <c r="E8" s="678">
        <f>SUM(E6:E7)</f>
        <v>100</v>
      </c>
      <c r="F8" s="688">
        <f>IF(B8&lt;&gt;0,D8/B8*100,"-")</f>
        <v>118.39544907431853</v>
      </c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ht="14.1" customHeight="1" x14ac:dyDescent="0.3">
      <c r="A9" s="671" t="s">
        <v>542</v>
      </c>
      <c r="B9" s="677"/>
      <c r="C9" s="672"/>
      <c r="D9" s="677"/>
      <c r="E9" s="672"/>
      <c r="F9" s="676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ht="14.1" customHeight="1" x14ac:dyDescent="0.3">
      <c r="A10" s="674" t="s">
        <v>543</v>
      </c>
      <c r="B10" s="170">
        <v>50.332000000000001</v>
      </c>
      <c r="C10" s="675">
        <f>IF(B$13&lt;&gt;0,B10*100/B$13,0)</f>
        <v>12.701665308141308</v>
      </c>
      <c r="D10" s="170">
        <v>56.777999999999999</v>
      </c>
      <c r="E10" s="675">
        <f>IF(D$13&lt;&gt;0,D10*100/D$13,0)</f>
        <v>12.870452227133628</v>
      </c>
      <c r="F10" s="676">
        <f t="shared" ref="F10:F18" si="0">IF(B10&lt;&gt;0,D10/B10*100,"-")</f>
        <v>112.80696177382181</v>
      </c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ht="14.1" customHeight="1" x14ac:dyDescent="0.3">
      <c r="A11" s="674" t="s">
        <v>544</v>
      </c>
      <c r="B11" s="170">
        <v>96.488</v>
      </c>
      <c r="C11" s="675">
        <f>IF(B$13&lt;&gt;0,B11*100/B$13,0)</f>
        <v>24.349485064212402</v>
      </c>
      <c r="D11" s="170">
        <v>104.27200000000001</v>
      </c>
      <c r="E11" s="675">
        <f>IF(D$13&lt;&gt;0,D11*100/D$13,0)</f>
        <v>23.636404850957724</v>
      </c>
      <c r="F11" s="676">
        <f t="shared" si="0"/>
        <v>108.06732443412652</v>
      </c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ht="14.1" customHeight="1" x14ac:dyDescent="0.3">
      <c r="A12" s="674" t="s">
        <v>545</v>
      </c>
      <c r="B12" s="170">
        <v>249.44300000000001</v>
      </c>
      <c r="C12" s="675">
        <f>IF(B$13&lt;&gt;0,B12*100/B$13,0)</f>
        <v>62.94884962764629</v>
      </c>
      <c r="D12" s="170">
        <v>280.10000000000002</v>
      </c>
      <c r="E12" s="675">
        <f>IF(D$13&lt;&gt;0,D12*100/D$13,0)</f>
        <v>63.49314292190865</v>
      </c>
      <c r="F12" s="676">
        <f t="shared" si="0"/>
        <v>112.29018252666943</v>
      </c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ht="14.1" customHeight="1" x14ac:dyDescent="0.3">
      <c r="A13" s="671" t="s">
        <v>546</v>
      </c>
      <c r="B13" s="677">
        <f>SUM(B10:B12)</f>
        <v>396.26300000000003</v>
      </c>
      <c r="C13" s="678">
        <f>SUM(C10:C12)</f>
        <v>100</v>
      </c>
      <c r="D13" s="677">
        <f>SUM(D10:D12)</f>
        <v>441.15000000000003</v>
      </c>
      <c r="E13" s="678">
        <f>SUM(E10:E12)</f>
        <v>100</v>
      </c>
      <c r="F13" s="688">
        <f t="shared" si="0"/>
        <v>111.32757789649803</v>
      </c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ht="14.1" customHeight="1" x14ac:dyDescent="0.3">
      <c r="A14" s="671" t="s">
        <v>547</v>
      </c>
      <c r="B14" s="677">
        <f>B8-B13</f>
        <v>152.89999999999998</v>
      </c>
      <c r="C14" s="672"/>
      <c r="D14" s="677">
        <f>D8-D13</f>
        <v>209.03399999999993</v>
      </c>
      <c r="E14" s="672"/>
      <c r="F14" s="688">
        <f t="shared" si="0"/>
        <v>136.71288423806408</v>
      </c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ht="14.1" customHeight="1" x14ac:dyDescent="0.3">
      <c r="A15" s="671" t="s">
        <v>104</v>
      </c>
      <c r="B15" s="677">
        <v>152.9</v>
      </c>
      <c r="C15" s="672"/>
      <c r="D15" s="677">
        <v>209.03399999999999</v>
      </c>
      <c r="E15" s="672"/>
      <c r="F15" s="688">
        <f t="shared" si="0"/>
        <v>136.71288423806408</v>
      </c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ht="14.1" customHeight="1" x14ac:dyDescent="0.3">
      <c r="A16" s="671" t="s">
        <v>105</v>
      </c>
      <c r="B16" s="677">
        <v>0</v>
      </c>
      <c r="C16" s="672"/>
      <c r="D16" s="677">
        <v>0</v>
      </c>
      <c r="E16" s="672"/>
      <c r="F16" s="688" t="str">
        <f t="shared" si="0"/>
        <v>-</v>
      </c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ht="14.1" customHeight="1" x14ac:dyDescent="0.3">
      <c r="A17" s="671" t="s">
        <v>106</v>
      </c>
      <c r="B17" s="679">
        <v>13.276</v>
      </c>
      <c r="C17" s="680"/>
      <c r="D17" s="679">
        <v>19.667999999999999</v>
      </c>
      <c r="E17" s="680"/>
      <c r="F17" s="688">
        <f t="shared" si="0"/>
        <v>148.14703223862608</v>
      </c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ht="14.1" customHeight="1" x14ac:dyDescent="0.3">
      <c r="A18" s="671" t="s">
        <v>107</v>
      </c>
      <c r="B18" s="170">
        <v>0.81200000000000006</v>
      </c>
      <c r="C18" s="681"/>
      <c r="D18" s="170">
        <v>1.29</v>
      </c>
      <c r="E18" s="680"/>
      <c r="F18" s="688">
        <f t="shared" si="0"/>
        <v>158.86699507389162</v>
      </c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ht="14.1" customHeight="1" x14ac:dyDescent="0.3">
      <c r="A19" s="671" t="s">
        <v>108</v>
      </c>
      <c r="B19" s="170">
        <v>1.141</v>
      </c>
      <c r="C19" s="681"/>
      <c r="D19" s="170">
        <v>1.3839999999999999</v>
      </c>
      <c r="E19" s="680"/>
      <c r="F19" s="688">
        <f t="shared" ref="F19" si="1">IF(B19&lt;&gt;0,D19/B19*100,"-")</f>
        <v>121.29710780017527</v>
      </c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ht="14.1" customHeight="1" x14ac:dyDescent="0.3">
      <c r="A20" s="682" t="s">
        <v>109</v>
      </c>
      <c r="B20" s="683">
        <v>139.29499999999999</v>
      </c>
      <c r="C20" s="684"/>
      <c r="D20" s="683">
        <v>189.27199999999999</v>
      </c>
      <c r="E20" s="684"/>
      <c r="F20" s="689">
        <f>IF(B20&lt;&gt;0,D20/B20*100,"-")</f>
        <v>135.87853117484477</v>
      </c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ht="14.1" customHeight="1" thickBot="1" x14ac:dyDescent="0.35">
      <c r="A21" s="685" t="s">
        <v>110</v>
      </c>
      <c r="B21" s="686">
        <v>0</v>
      </c>
      <c r="C21" s="687"/>
      <c r="D21" s="686">
        <v>0</v>
      </c>
      <c r="E21" s="687"/>
      <c r="F21" s="720" t="str">
        <f>IF(B21&lt;&gt;0,D21/B21*100,"-")</f>
        <v>-</v>
      </c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2:P34"/>
  <sheetViews>
    <sheetView showGridLines="0" zoomScaleNormal="100" workbookViewId="0">
      <selection activeCell="A2" sqref="A2"/>
    </sheetView>
  </sheetViews>
  <sheetFormatPr defaultRowHeight="14.4" x14ac:dyDescent="0.3"/>
  <cols>
    <col min="1" max="1" width="37.44140625" customWidth="1"/>
    <col min="2" max="6" width="9.109375" customWidth="1"/>
    <col min="8" max="15" width="0" hidden="1" customWidth="1"/>
    <col min="21" max="21" width="11.33203125" customWidth="1"/>
  </cols>
  <sheetData>
    <row r="2" spans="1:16" x14ac:dyDescent="0.3">
      <c r="A2" s="48" t="s">
        <v>264</v>
      </c>
      <c r="B2" s="48"/>
      <c r="C2" s="48"/>
      <c r="D2" s="48"/>
      <c r="E2" s="48"/>
      <c r="F2" s="51" t="s">
        <v>315</v>
      </c>
    </row>
    <row r="3" spans="1:16" ht="14.1" customHeight="1" x14ac:dyDescent="0.3">
      <c r="A3" s="74" t="s">
        <v>10</v>
      </c>
      <c r="B3" s="306" t="s">
        <v>339</v>
      </c>
      <c r="C3" s="307" t="s">
        <v>591</v>
      </c>
      <c r="D3" s="307" t="s">
        <v>592</v>
      </c>
      <c r="E3" s="307" t="s">
        <v>593</v>
      </c>
      <c r="F3" s="307" t="s">
        <v>594</v>
      </c>
    </row>
    <row r="4" spans="1:16" ht="14.1" customHeight="1" x14ac:dyDescent="0.3">
      <c r="A4" s="308" t="s">
        <v>102</v>
      </c>
      <c r="B4" s="309">
        <v>96.611999999999995</v>
      </c>
      <c r="C4" s="310">
        <v>52.805999999999997</v>
      </c>
      <c r="D4" s="310">
        <v>115.452</v>
      </c>
      <c r="E4" s="310">
        <v>139.29499999999999</v>
      </c>
      <c r="F4" s="310">
        <v>189.27199999999999</v>
      </c>
    </row>
    <row r="5" spans="1:16" ht="14.1" customHeight="1" x14ac:dyDescent="0.3">
      <c r="A5" s="55" t="s">
        <v>100</v>
      </c>
      <c r="B5" s="118">
        <v>7936.75</v>
      </c>
      <c r="C5" s="71">
        <v>8267.3649999999998</v>
      </c>
      <c r="D5" s="71">
        <v>9088.9220000000005</v>
      </c>
      <c r="E5" s="71">
        <v>9405.8020000000015</v>
      </c>
      <c r="F5" s="71">
        <v>9691.7120000000014</v>
      </c>
      <c r="P5" s="24"/>
    </row>
    <row r="6" spans="1:16" ht="14.1" customHeight="1" x14ac:dyDescent="0.3">
      <c r="A6" s="55" t="s">
        <v>101</v>
      </c>
      <c r="B6" s="118">
        <v>997.98599999999999</v>
      </c>
      <c r="C6" s="71">
        <v>1028.4170000000001</v>
      </c>
      <c r="D6" s="71">
        <v>1115.3810000000001</v>
      </c>
      <c r="E6" s="71">
        <v>1169.1869999999999</v>
      </c>
      <c r="F6" s="71">
        <v>1272.1850000000002</v>
      </c>
      <c r="P6" t="str">
        <f>LEFT(G6)</f>
        <v/>
      </c>
    </row>
    <row r="7" spans="1:16" ht="14.1" customHeight="1" x14ac:dyDescent="0.3">
      <c r="A7" s="7" t="s">
        <v>146</v>
      </c>
      <c r="B7" s="311">
        <f>IFERROR(12*B4/LEFT(B3,2)/B$5,0)</f>
        <v>1.2172740731407693E-2</v>
      </c>
      <c r="C7" s="312">
        <f>IFERROR(12*C4/LEFT(C3,2)/C$5,0)</f>
        <v>6.3872830097618776E-3</v>
      </c>
      <c r="D7" s="312">
        <f>IFERROR(12*D4/LEFT(D3,2)/D$5,0)</f>
        <v>1.2702496511687525E-2</v>
      </c>
      <c r="E7" s="312">
        <f>IFERROR(12*E4/LEFT(E3,2)/E$5,0)</f>
        <v>1.4809476108470066E-2</v>
      </c>
      <c r="F7" s="312">
        <f>IFERROR(12*F4/LEFT(F3,2)/F$5,0)</f>
        <v>1.9529263766814367E-2</v>
      </c>
    </row>
    <row r="8" spans="1:16" ht="14.1" customHeight="1" x14ac:dyDescent="0.3">
      <c r="A8" s="7" t="s">
        <v>147</v>
      </c>
      <c r="B8" s="311">
        <f>IFERROR(12*B4/LEFT(B3,2)/B$6,0)</f>
        <v>9.6806969236041401E-2</v>
      </c>
      <c r="C8" s="312">
        <f>IFERROR(12*C4/LEFT(C3,2)/C$6,0)</f>
        <v>5.1346875829551629E-2</v>
      </c>
      <c r="D8" s="312">
        <f>IFERROR(12*D4/LEFT(D3,2)/D$6,0)</f>
        <v>0.10350902516718502</v>
      </c>
      <c r="E8" s="312">
        <f>IFERROR(12*E4/LEFT(E3,2)/E$6,0)</f>
        <v>0.11913834142870217</v>
      </c>
      <c r="F8" s="312">
        <f>IFERROR(12*F4/LEFT(F3,2)/F$6,0)</f>
        <v>0.14877710395893678</v>
      </c>
    </row>
    <row r="9" spans="1:16" ht="14.1" customHeight="1" x14ac:dyDescent="0.3">
      <c r="A9" s="55" t="s">
        <v>144</v>
      </c>
      <c r="B9" s="118">
        <v>232.74199999999999</v>
      </c>
      <c r="C9" s="71">
        <v>235.94800000000001</v>
      </c>
      <c r="D9" s="71">
        <v>250.239</v>
      </c>
      <c r="E9" s="71">
        <v>279.22399999999999</v>
      </c>
      <c r="F9" s="71">
        <v>352.65199999999999</v>
      </c>
    </row>
    <row r="10" spans="1:16" ht="14.1" customHeight="1" x14ac:dyDescent="0.3">
      <c r="A10" s="55" t="s">
        <v>415</v>
      </c>
      <c r="B10" s="118">
        <v>168.07300000000001</v>
      </c>
      <c r="C10" s="71">
        <v>164.87200000000001</v>
      </c>
      <c r="D10" s="71">
        <v>189.98500000000001</v>
      </c>
      <c r="E10" s="71">
        <v>219.607</v>
      </c>
      <c r="F10" s="71">
        <v>240.75399999999999</v>
      </c>
    </row>
    <row r="11" spans="1:16" ht="14.1" customHeight="1" x14ac:dyDescent="0.3">
      <c r="A11" s="55" t="s">
        <v>145</v>
      </c>
      <c r="B11" s="118">
        <v>36.235999999999997</v>
      </c>
      <c r="C11" s="71">
        <v>35.28</v>
      </c>
      <c r="D11" s="71">
        <v>44.84</v>
      </c>
      <c r="E11" s="71">
        <v>51.668999999999997</v>
      </c>
      <c r="F11" s="71">
        <v>57.168999999999997</v>
      </c>
    </row>
    <row r="12" spans="1:16" ht="14.1" customHeight="1" x14ac:dyDescent="0.3">
      <c r="A12" s="55" t="s">
        <v>113</v>
      </c>
      <c r="B12" s="118">
        <v>224.804</v>
      </c>
      <c r="C12" s="71">
        <v>239.785</v>
      </c>
      <c r="D12" s="71">
        <v>245.71899999999999</v>
      </c>
      <c r="E12" s="71">
        <v>249.44300000000001</v>
      </c>
      <c r="F12" s="71">
        <v>280.10000000000002</v>
      </c>
    </row>
    <row r="13" spans="1:16" ht="27" customHeight="1" x14ac:dyDescent="0.3">
      <c r="A13" s="55" t="s">
        <v>114</v>
      </c>
      <c r="B13" s="118">
        <f>B9+B10-B11</f>
        <v>364.57900000000001</v>
      </c>
      <c r="C13" s="71">
        <f>C9+C10-C11</f>
        <v>365.54000000000008</v>
      </c>
      <c r="D13" s="71">
        <f t="shared" ref="D13:E13" si="0">D9+D10-D11</f>
        <v>395.38400000000001</v>
      </c>
      <c r="E13" s="71">
        <f t="shared" si="0"/>
        <v>447.16200000000003</v>
      </c>
      <c r="F13" s="71">
        <f>F9+F10-F11</f>
        <v>536.23699999999997</v>
      </c>
    </row>
    <row r="14" spans="1:16" ht="14.1" customHeight="1" x14ac:dyDescent="0.3">
      <c r="A14" s="7" t="s">
        <v>115</v>
      </c>
      <c r="B14" s="311">
        <f>IFERROR(12*B9/LEFT(B3,2)/B$5,0)</f>
        <v>2.9324597599773204E-2</v>
      </c>
      <c r="C14" s="312">
        <f>IFERROR(12*C9/LEFT(C3,2)/C$5,0)</f>
        <v>2.853968586121455E-2</v>
      </c>
      <c r="D14" s="312">
        <f>IFERROR(12*D9/LEFT(D3,2)/D$5,0)</f>
        <v>2.7532308011885238E-2</v>
      </c>
      <c r="E14" s="312">
        <f>IFERROR(12*E9/LEFT(E3,2)/E$5,0)</f>
        <v>2.9686357420664389E-2</v>
      </c>
      <c r="F14" s="312">
        <f>IFERROR(12*F9/LEFT(F3,2)/F$5,0)</f>
        <v>3.6386966513243475E-2</v>
      </c>
    </row>
    <row r="15" spans="1:16" ht="14.1" customHeight="1" x14ac:dyDescent="0.3">
      <c r="A15" s="7" t="s">
        <v>116</v>
      </c>
      <c r="B15" s="311">
        <f>IFERROR(12*B10/LEFT(B3,2)/B$5,0)</f>
        <v>2.117655211516049E-2</v>
      </c>
      <c r="C15" s="312">
        <f>IFERROR(12*C10/LEFT(C3,2)/C$5,0)</f>
        <v>1.9942508888866044E-2</v>
      </c>
      <c r="D15" s="312">
        <f>IFERROR(12*D10/LEFT(D3,2)/D$5,0)</f>
        <v>2.0902918960026284E-2</v>
      </c>
      <c r="E15" s="312">
        <f>IFERROR(12*E10/LEFT(E3,2)/E$5,0)</f>
        <v>2.3348035606107802E-2</v>
      </c>
      <c r="F15" s="312">
        <f>IFERROR(12*F10/LEFT(F3,2)/F$5,0)</f>
        <v>2.4841225162282984E-2</v>
      </c>
    </row>
    <row r="16" spans="1:16" ht="40.5" customHeight="1" thickBot="1" x14ac:dyDescent="0.35">
      <c r="A16" s="313" t="s">
        <v>118</v>
      </c>
      <c r="B16" s="314">
        <f>IF(B13&lt;&gt;0,B12/B13,0)</f>
        <v>0.61661258602387958</v>
      </c>
      <c r="C16" s="315">
        <f t="shared" ref="C16:E16" si="1">IF(C13&lt;&gt;0,C12/C13,0)</f>
        <v>0.65597472232860954</v>
      </c>
      <c r="D16" s="315">
        <f t="shared" si="1"/>
        <v>0.62146925520506646</v>
      </c>
      <c r="E16" s="315">
        <f t="shared" si="1"/>
        <v>0.55783586261802209</v>
      </c>
      <c r="F16" s="315">
        <f>IF(F13&lt;&gt;0,F12/F13,0)</f>
        <v>0.52234366520773468</v>
      </c>
    </row>
    <row r="17" spans="1:7" x14ac:dyDescent="0.3">
      <c r="A17" s="4"/>
      <c r="B17" s="4"/>
      <c r="C17" s="4"/>
      <c r="D17" s="4"/>
      <c r="E17" s="4"/>
      <c r="F17" s="4"/>
    </row>
    <row r="18" spans="1:7" x14ac:dyDescent="0.3">
      <c r="A18" t="s">
        <v>112</v>
      </c>
      <c r="C18" s="4"/>
      <c r="D18" s="4"/>
      <c r="E18" s="4"/>
      <c r="F18" s="4"/>
      <c r="G18" s="4"/>
    </row>
    <row r="21" spans="1:7" ht="14.1" customHeight="1" x14ac:dyDescent="0.3"/>
    <row r="22" spans="1:7" ht="14.1" customHeight="1" x14ac:dyDescent="0.3"/>
    <row r="23" spans="1:7" ht="14.1" customHeight="1" x14ac:dyDescent="0.3"/>
    <row r="24" spans="1:7" ht="14.1" customHeight="1" x14ac:dyDescent="0.3"/>
    <row r="25" spans="1:7" ht="14.1" customHeight="1" x14ac:dyDescent="0.3"/>
    <row r="26" spans="1:7" ht="14.1" customHeight="1" x14ac:dyDescent="0.3"/>
    <row r="27" spans="1:7" ht="14.1" customHeight="1" x14ac:dyDescent="0.3"/>
    <row r="28" spans="1:7" ht="14.1" customHeight="1" x14ac:dyDescent="0.3"/>
    <row r="29" spans="1:7" ht="14.1" customHeight="1" x14ac:dyDescent="0.3"/>
    <row r="30" spans="1:7" ht="27" customHeight="1" x14ac:dyDescent="0.3"/>
    <row r="31" spans="1:7" ht="14.1" customHeight="1" x14ac:dyDescent="0.3"/>
    <row r="32" spans="1:7" ht="14.1" customHeight="1" x14ac:dyDescent="0.3"/>
    <row r="33" ht="40.5" customHeight="1" x14ac:dyDescent="0.3"/>
    <row r="34" ht="45" customHeight="1" x14ac:dyDescent="0.3"/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FW53"/>
  <sheetViews>
    <sheetView showGridLines="0" topLeftCell="A3" zoomScaleNormal="100" workbookViewId="0">
      <selection activeCell="A4" sqref="A4"/>
    </sheetView>
  </sheetViews>
  <sheetFormatPr defaultColWidth="9.109375" defaultRowHeight="14.4" x14ac:dyDescent="0.3"/>
  <cols>
    <col min="1" max="1" width="26.88671875" style="37" customWidth="1"/>
    <col min="2" max="2" width="7.5546875" style="28" customWidth="1"/>
    <col min="3" max="3" width="6.33203125" style="28" customWidth="1"/>
    <col min="4" max="4" width="7.5546875" style="28" bestFit="1" customWidth="1"/>
    <col min="5" max="5" width="7.5546875" style="28" customWidth="1"/>
    <col min="6" max="6" width="6.33203125" style="28" customWidth="1"/>
    <col min="7" max="7" width="7.5546875" style="28" bestFit="1" customWidth="1"/>
    <col min="8" max="8" width="7.5546875" style="28" customWidth="1"/>
    <col min="9" max="9" width="6.33203125" style="28" customWidth="1"/>
    <col min="10" max="10" width="7.5546875" style="28" bestFit="1" customWidth="1"/>
    <col min="11" max="11" width="9.109375" style="28"/>
    <col min="12" max="12" width="10.109375" style="28" bestFit="1" customWidth="1"/>
    <col min="13" max="13" width="14.5546875" style="28" customWidth="1"/>
    <col min="14" max="14" width="12.5546875" style="28" customWidth="1"/>
    <col min="15" max="15" width="11.6640625" style="28" bestFit="1" customWidth="1"/>
    <col min="16" max="16384" width="9.109375" style="28"/>
  </cols>
  <sheetData>
    <row r="1" spans="1:179" hidden="1" x14ac:dyDescent="0.3">
      <c r="A1" s="92"/>
      <c r="B1" s="25"/>
      <c r="C1" s="25"/>
      <c r="D1" s="25"/>
      <c r="E1" s="25"/>
      <c r="F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idden="1" x14ac:dyDescent="0.3">
      <c r="A2" s="92"/>
      <c r="B2" s="25"/>
      <c r="C2" s="25"/>
      <c r="D2" s="25"/>
      <c r="E2" s="25"/>
      <c r="F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x14ac:dyDescent="0.3">
      <c r="A4" s="182" t="s">
        <v>265</v>
      </c>
      <c r="B4" s="182"/>
      <c r="C4" s="182"/>
      <c r="D4" s="182"/>
      <c r="E4" s="182"/>
      <c r="F4" s="182"/>
      <c r="G4" s="182"/>
      <c r="H4" s="182"/>
      <c r="I4" s="182"/>
      <c r="J4" s="51" t="s">
        <v>315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x14ac:dyDescent="0.3">
      <c r="A5" s="799" t="s">
        <v>338</v>
      </c>
      <c r="B5" s="796" t="s">
        <v>561</v>
      </c>
      <c r="C5" s="797"/>
      <c r="D5" s="798"/>
      <c r="E5" s="796" t="s">
        <v>562</v>
      </c>
      <c r="F5" s="797"/>
      <c r="G5" s="798"/>
      <c r="H5" s="796" t="s">
        <v>588</v>
      </c>
      <c r="I5" s="797"/>
      <c r="J5" s="797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0.399999999999999" x14ac:dyDescent="0.3">
      <c r="A6" s="800"/>
      <c r="B6" s="171" t="s">
        <v>2</v>
      </c>
      <c r="C6" s="172" t="s">
        <v>155</v>
      </c>
      <c r="D6" s="183" t="s">
        <v>185</v>
      </c>
      <c r="E6" s="171" t="s">
        <v>2</v>
      </c>
      <c r="F6" s="172" t="s">
        <v>155</v>
      </c>
      <c r="G6" s="183" t="s">
        <v>185</v>
      </c>
      <c r="H6" s="173" t="s">
        <v>2</v>
      </c>
      <c r="I6" s="172" t="s">
        <v>155</v>
      </c>
      <c r="J6" s="172" t="s">
        <v>185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A7" s="174" t="s">
        <v>98</v>
      </c>
      <c r="B7" s="414">
        <f>B8+B17</f>
        <v>10861.349999999999</v>
      </c>
      <c r="C7" s="415">
        <f>C8+C17</f>
        <v>353.71899999999999</v>
      </c>
      <c r="D7" s="416">
        <f>IFERROR(C7*100/B7,0)</f>
        <v>3.2566761958688382</v>
      </c>
      <c r="E7" s="414">
        <f>E8+E17</f>
        <v>11153.470000000001</v>
      </c>
      <c r="F7" s="415">
        <f>F8+F17</f>
        <v>325.65799999999996</v>
      </c>
      <c r="G7" s="416">
        <f>IFERROR(F7*100/E7,0)</f>
        <v>2.9197908812235109</v>
      </c>
      <c r="H7" s="415">
        <f>H8+H17</f>
        <v>11568.786000000002</v>
      </c>
      <c r="I7" s="415">
        <f>I8+I17</f>
        <v>356.53399999999999</v>
      </c>
      <c r="J7" s="417">
        <f>IFERROR(I7*100/H7,0)</f>
        <v>3.0818618306190464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x14ac:dyDescent="0.3">
      <c r="A8" s="175" t="s">
        <v>186</v>
      </c>
      <c r="B8" s="406">
        <f>+B9+B14+B15+B16</f>
        <v>9677.6499999999978</v>
      </c>
      <c r="C8" s="407">
        <f>SUM(C10:C16)</f>
        <v>341.048</v>
      </c>
      <c r="D8" s="409">
        <f>IFERROR(C8*100/B8,0)</f>
        <v>3.5240786761248866</v>
      </c>
      <c r="E8" s="406">
        <f>+E9+E14+E15+E16</f>
        <v>9876.2360000000008</v>
      </c>
      <c r="F8" s="407">
        <f>SUM(F10:F16)</f>
        <v>312.87799999999999</v>
      </c>
      <c r="G8" s="409">
        <f>IFERROR(F8*100/E8,0)</f>
        <v>3.1679882902757686</v>
      </c>
      <c r="H8" s="418">
        <f>+H9+H14+H15+H16</f>
        <v>10175.613000000001</v>
      </c>
      <c r="I8" s="407">
        <f>SUM(I10:I16)</f>
        <v>339.57400000000001</v>
      </c>
      <c r="J8" s="408">
        <f>IFERROR(I8*100/H8,0)</f>
        <v>3.3371355612679059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0.399999999999999" x14ac:dyDescent="0.3">
      <c r="A9" s="176" t="s">
        <v>187</v>
      </c>
      <c r="B9" s="410">
        <f>+B10+B11+B12+B13</f>
        <v>8524.4109999999982</v>
      </c>
      <c r="C9" s="186">
        <f>+C10+C11+C12+C13</f>
        <v>335.80900000000003</v>
      </c>
      <c r="D9" s="411">
        <f>IFERROR(C9*100/B9,0)</f>
        <v>3.9393806797912498</v>
      </c>
      <c r="E9" s="410">
        <f>+E10+E11+E12+E13</f>
        <v>8583.7250000000004</v>
      </c>
      <c r="F9" s="186">
        <f>+F10+F11+F12+F13</f>
        <v>305.06700000000001</v>
      </c>
      <c r="G9" s="411">
        <f>IFERROR(F9*100/E9,0)</f>
        <v>3.5540164672097485</v>
      </c>
      <c r="H9" s="419">
        <f>+H10+H11+H12+H13</f>
        <v>9102.848</v>
      </c>
      <c r="I9" s="186">
        <f>+I10+I11+I12+I13</f>
        <v>330.25600000000003</v>
      </c>
      <c r="J9" s="468">
        <f>IFERROR(I9*100/H9,0)</f>
        <v>3.6280513527195013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24.75" customHeight="1" x14ac:dyDescent="0.3">
      <c r="A10" s="177" t="s">
        <v>311</v>
      </c>
      <c r="B10" s="420">
        <v>2762.1480000000001</v>
      </c>
      <c r="C10" s="421">
        <v>3.234</v>
      </c>
      <c r="D10" s="422">
        <f>IFERROR(C10*100/B10,0)</f>
        <v>0.11708279208789679</v>
      </c>
      <c r="E10" s="420">
        <v>2677.0540000000001</v>
      </c>
      <c r="F10" s="421">
        <v>5.9589999999999996</v>
      </c>
      <c r="G10" s="422">
        <f>IFERROR(F10*100/E10,0)</f>
        <v>0.22259543513130478</v>
      </c>
      <c r="H10" s="423">
        <v>2588.8939999999998</v>
      </c>
      <c r="I10" s="421">
        <v>6.5439999999999996</v>
      </c>
      <c r="J10" s="469">
        <f>IFERROR(I10*100/H10,0)</f>
        <v>0.25277203315392599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x14ac:dyDescent="0.3">
      <c r="A11" s="177" t="s">
        <v>188</v>
      </c>
      <c r="B11" s="420">
        <v>25.893000000000001</v>
      </c>
      <c r="C11" s="421">
        <v>2.7E-2</v>
      </c>
      <c r="D11" s="422">
        <f t="shared" ref="D11:D12" si="0">IFERROR(C11*100/B11,0)</f>
        <v>0.10427528675703858</v>
      </c>
      <c r="E11" s="420">
        <v>86.38</v>
      </c>
      <c r="F11" s="421">
        <v>8.6999999999999994E-2</v>
      </c>
      <c r="G11" s="422">
        <f t="shared" ref="G11:G13" si="1">IFERROR(F11*100/E11,0)</f>
        <v>0.10071775874044918</v>
      </c>
      <c r="H11" s="423">
        <v>426.61700000000002</v>
      </c>
      <c r="I11" s="421">
        <v>2.7650000000000001</v>
      </c>
      <c r="J11" s="469">
        <f t="shared" ref="J11:J13" si="2">IFERROR(I11*100/H11,0)</f>
        <v>0.64812232048886942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x14ac:dyDescent="0.3">
      <c r="A12" s="177" t="s">
        <v>189</v>
      </c>
      <c r="B12" s="420">
        <v>5705.1329999999998</v>
      </c>
      <c r="C12" s="421">
        <v>322.51100000000002</v>
      </c>
      <c r="D12" s="422">
        <f t="shared" si="0"/>
        <v>5.6529970466946171</v>
      </c>
      <c r="E12" s="420">
        <v>5792.9089999999997</v>
      </c>
      <c r="F12" s="421">
        <v>292.447</v>
      </c>
      <c r="G12" s="422">
        <f t="shared" si="1"/>
        <v>5.0483617125696263</v>
      </c>
      <c r="H12" s="423">
        <v>6056.5429999999997</v>
      </c>
      <c r="I12" s="421">
        <v>314.91500000000002</v>
      </c>
      <c r="J12" s="469">
        <f t="shared" si="2"/>
        <v>5.1995833266601101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x14ac:dyDescent="0.3">
      <c r="A13" s="177" t="s">
        <v>190</v>
      </c>
      <c r="B13" s="420">
        <v>31.236999999999998</v>
      </c>
      <c r="C13" s="421">
        <v>10.037000000000001</v>
      </c>
      <c r="D13" s="422">
        <f>IFERROR(C13*100/B13,0)</f>
        <v>32.131766814995039</v>
      </c>
      <c r="E13" s="420">
        <v>27.382000000000001</v>
      </c>
      <c r="F13" s="421">
        <v>6.5739999999999998</v>
      </c>
      <c r="G13" s="422">
        <f t="shared" si="1"/>
        <v>24.008472719304649</v>
      </c>
      <c r="H13" s="423">
        <v>30.794</v>
      </c>
      <c r="I13" s="421">
        <v>6.032</v>
      </c>
      <c r="J13" s="469">
        <f t="shared" si="2"/>
        <v>19.588231473663701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s="122" customFormat="1" ht="20.399999999999999" x14ac:dyDescent="0.3">
      <c r="A14" s="176" t="s">
        <v>191</v>
      </c>
      <c r="B14" s="410">
        <v>12.472</v>
      </c>
      <c r="C14" s="186">
        <v>0</v>
      </c>
      <c r="D14" s="411"/>
      <c r="E14" s="410">
        <v>12.888999999999999</v>
      </c>
      <c r="F14" s="186">
        <v>0</v>
      </c>
      <c r="G14" s="411"/>
      <c r="H14" s="419">
        <v>15.218</v>
      </c>
      <c r="I14" s="186">
        <v>0</v>
      </c>
      <c r="J14" s="468"/>
      <c r="K14" s="123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s="122" customFormat="1" ht="30.6" x14ac:dyDescent="0.3">
      <c r="A15" s="176" t="s">
        <v>388</v>
      </c>
      <c r="B15" s="410">
        <v>1076.875</v>
      </c>
      <c r="C15" s="186">
        <v>0</v>
      </c>
      <c r="D15" s="411"/>
      <c r="E15" s="410">
        <v>1198.6189999999999</v>
      </c>
      <c r="F15" s="186">
        <v>0</v>
      </c>
      <c r="G15" s="411"/>
      <c r="H15" s="419">
        <v>967.44899999999996</v>
      </c>
      <c r="I15" s="186">
        <v>0</v>
      </c>
      <c r="J15" s="468"/>
      <c r="K15" s="28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s="122" customFormat="1" x14ac:dyDescent="0.3">
      <c r="A16" s="178" t="s">
        <v>192</v>
      </c>
      <c r="B16" s="424">
        <v>63.892000000000003</v>
      </c>
      <c r="C16" s="187">
        <v>5.2389999999999999</v>
      </c>
      <c r="D16" s="425">
        <f>IFERROR(C16*100/B16,0)</f>
        <v>8.1997746196706931</v>
      </c>
      <c r="E16" s="424">
        <v>81.003</v>
      </c>
      <c r="F16" s="187">
        <v>7.8109999999999999</v>
      </c>
      <c r="G16" s="425">
        <f>IFERROR(F16*100/E16,0)</f>
        <v>9.642852733849363</v>
      </c>
      <c r="H16" s="426">
        <v>90.097999999999999</v>
      </c>
      <c r="I16" s="187">
        <v>9.3179999999999996</v>
      </c>
      <c r="J16" s="188">
        <f>IFERROR(I16*100/H16,0)</f>
        <v>10.342071966081377</v>
      </c>
      <c r="K16" s="28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x14ac:dyDescent="0.3">
      <c r="A17" s="179" t="s">
        <v>193</v>
      </c>
      <c r="B17" s="427">
        <f>SUM(B18:B21)</f>
        <v>1183.7</v>
      </c>
      <c r="C17" s="428">
        <f>SUM(C18:C21)</f>
        <v>12.671000000000001</v>
      </c>
      <c r="D17" s="429">
        <f>IFERROR(C17*100/B17,0)</f>
        <v>1.0704570414801049</v>
      </c>
      <c r="E17" s="427">
        <f t="shared" ref="E17:I17" si="3">SUM(E18:E21)</f>
        <v>1277.2340000000002</v>
      </c>
      <c r="F17" s="428">
        <f t="shared" si="3"/>
        <v>12.78</v>
      </c>
      <c r="G17" s="429">
        <f>IFERROR(F17*100/E17,0)</f>
        <v>1.000599733486581</v>
      </c>
      <c r="H17" s="430">
        <f t="shared" si="3"/>
        <v>1393.173</v>
      </c>
      <c r="I17" s="428">
        <f t="shared" si="3"/>
        <v>16.96</v>
      </c>
      <c r="J17" s="401">
        <f>IFERROR(I17*100/H17,0)</f>
        <v>1.2173649647244096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x14ac:dyDescent="0.3">
      <c r="A18" s="176" t="s">
        <v>194</v>
      </c>
      <c r="B18" s="431">
        <v>549.35799999999995</v>
      </c>
      <c r="C18" s="432">
        <v>5.4020000000000001</v>
      </c>
      <c r="D18" s="411">
        <f>IFERROR(C18*100/B18,0)</f>
        <v>0.98332963204322155</v>
      </c>
      <c r="E18" s="431">
        <v>641.54700000000003</v>
      </c>
      <c r="F18" s="432">
        <v>6.319</v>
      </c>
      <c r="G18" s="411">
        <f>IFERROR(F18*100/E18,0)</f>
        <v>0.98496290996606628</v>
      </c>
      <c r="H18" s="433">
        <v>731.96500000000003</v>
      </c>
      <c r="I18" s="432">
        <v>9.8960000000000008</v>
      </c>
      <c r="J18" s="468">
        <f>IFERROR(I18*100/H18,0)</f>
        <v>1.3519772120251652</v>
      </c>
      <c r="K18" s="34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5" customHeight="1" x14ac:dyDescent="0.3">
      <c r="A19" s="176" t="s">
        <v>195</v>
      </c>
      <c r="B19" s="431">
        <v>5.62</v>
      </c>
      <c r="C19" s="432">
        <v>2.7E-2</v>
      </c>
      <c r="D19" s="411">
        <f t="shared" ref="D19:D21" si="4">IFERROR(C19*100/B19,0)</f>
        <v>0.4804270462633452</v>
      </c>
      <c r="E19" s="431">
        <v>0.75700000000000001</v>
      </c>
      <c r="F19" s="432">
        <v>4.0000000000000001E-3</v>
      </c>
      <c r="G19" s="411">
        <f t="shared" ref="G19:G21" si="5">IFERROR(F19*100/E19,0)</f>
        <v>0.52840158520475566</v>
      </c>
      <c r="H19" s="433">
        <v>0.875</v>
      </c>
      <c r="I19" s="432">
        <v>6.0000000000000001E-3</v>
      </c>
      <c r="J19" s="468">
        <f t="shared" ref="J19:J21" si="6">IFERROR(I19*100/H19,0)</f>
        <v>0.68571428571428572</v>
      </c>
      <c r="K19" s="34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20.399999999999999" x14ac:dyDescent="0.3">
      <c r="A20" s="180" t="s">
        <v>196</v>
      </c>
      <c r="B20" s="434">
        <v>628.25900000000001</v>
      </c>
      <c r="C20" s="435">
        <v>7.2380000000000004</v>
      </c>
      <c r="D20" s="411">
        <f t="shared" si="4"/>
        <v>1.1520726324652732</v>
      </c>
      <c r="E20" s="434">
        <v>634.23199999999997</v>
      </c>
      <c r="F20" s="435">
        <v>6.4509999999999996</v>
      </c>
      <c r="G20" s="411">
        <f t="shared" si="5"/>
        <v>1.0171356853643461</v>
      </c>
      <c r="H20" s="436">
        <v>660.00400000000002</v>
      </c>
      <c r="I20" s="435">
        <v>7.056</v>
      </c>
      <c r="J20" s="468">
        <f t="shared" si="6"/>
        <v>1.0690844297913347</v>
      </c>
      <c r="K20" s="34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5" thickBot="1" x14ac:dyDescent="0.35">
      <c r="A21" s="181" t="s">
        <v>197</v>
      </c>
      <c r="B21" s="437">
        <v>0.46300000000000002</v>
      </c>
      <c r="C21" s="438">
        <v>4.0000000000000001E-3</v>
      </c>
      <c r="D21" s="411">
        <f t="shared" si="4"/>
        <v>0.86393088552915764</v>
      </c>
      <c r="E21" s="437">
        <v>0.69799999999999995</v>
      </c>
      <c r="F21" s="438">
        <v>6.0000000000000001E-3</v>
      </c>
      <c r="G21" s="411">
        <f t="shared" si="5"/>
        <v>0.8595988538681949</v>
      </c>
      <c r="H21" s="439">
        <v>0.32900000000000001</v>
      </c>
      <c r="I21" s="438">
        <v>2E-3</v>
      </c>
      <c r="J21" s="470">
        <f t="shared" si="6"/>
        <v>0.60790273556231</v>
      </c>
      <c r="K21" s="34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  <row r="22" spans="1:179" ht="19.5" customHeight="1" x14ac:dyDescent="0.3">
      <c r="A22" s="795" t="s">
        <v>389</v>
      </c>
      <c r="B22" s="795"/>
      <c r="C22" s="795"/>
      <c r="D22" s="795"/>
      <c r="E22" s="795"/>
      <c r="F22" s="795"/>
      <c r="G22" s="795"/>
      <c r="H22" s="795"/>
      <c r="I22" s="795"/>
      <c r="J22" s="795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</row>
    <row r="24" spans="1:179" x14ac:dyDescent="0.3">
      <c r="L24" s="33"/>
      <c r="M24" s="32"/>
      <c r="N24" s="32"/>
      <c r="O24" s="32"/>
    </row>
    <row r="25" spans="1:179" x14ac:dyDescent="0.3">
      <c r="L25" s="29"/>
    </row>
    <row r="26" spans="1:179" x14ac:dyDescent="0.3">
      <c r="L26" s="29"/>
    </row>
    <row r="27" spans="1:179" x14ac:dyDescent="0.3">
      <c r="L27" s="29"/>
    </row>
    <row r="28" spans="1:179" x14ac:dyDescent="0.3">
      <c r="L28" s="29"/>
    </row>
    <row r="29" spans="1:179" x14ac:dyDescent="0.3">
      <c r="L29" s="29"/>
    </row>
    <row r="30" spans="1:179" x14ac:dyDescent="0.3">
      <c r="L30" s="29"/>
    </row>
    <row r="31" spans="1:179" x14ac:dyDescent="0.3">
      <c r="L31" s="29"/>
    </row>
    <row r="32" spans="1:179" x14ac:dyDescent="0.3">
      <c r="L32" s="29"/>
    </row>
    <row r="33" spans="12:12" x14ac:dyDescent="0.3">
      <c r="L33" s="29"/>
    </row>
    <row r="34" spans="12:12" x14ac:dyDescent="0.3">
      <c r="L34" s="29"/>
    </row>
    <row r="35" spans="12:12" x14ac:dyDescent="0.3">
      <c r="L35" s="29"/>
    </row>
    <row r="36" spans="12:12" x14ac:dyDescent="0.3">
      <c r="L36" s="29"/>
    </row>
    <row r="37" spans="12:12" x14ac:dyDescent="0.3">
      <c r="L37" s="29"/>
    </row>
    <row r="38" spans="12:12" x14ac:dyDescent="0.3">
      <c r="L38" s="29"/>
    </row>
    <row r="39" spans="12:12" x14ac:dyDescent="0.3">
      <c r="L39" s="29"/>
    </row>
    <row r="40" spans="12:12" x14ac:dyDescent="0.3">
      <c r="L40" s="29"/>
    </row>
    <row r="41" spans="12:12" x14ac:dyDescent="0.3">
      <c r="L41" s="29"/>
    </row>
    <row r="42" spans="12:12" x14ac:dyDescent="0.3">
      <c r="L42" s="29"/>
    </row>
    <row r="43" spans="12:12" x14ac:dyDescent="0.3">
      <c r="L43" s="29"/>
    </row>
    <row r="44" spans="12:12" x14ac:dyDescent="0.3">
      <c r="L44" s="29"/>
    </row>
    <row r="45" spans="12:12" x14ac:dyDescent="0.3">
      <c r="L45" s="29"/>
    </row>
    <row r="46" spans="12:12" x14ac:dyDescent="0.3">
      <c r="L46" s="29"/>
    </row>
    <row r="47" spans="12:12" x14ac:dyDescent="0.3">
      <c r="L47" s="29"/>
    </row>
    <row r="48" spans="12:12" x14ac:dyDescent="0.3">
      <c r="L48" s="29"/>
    </row>
    <row r="49" spans="12:12" x14ac:dyDescent="0.3">
      <c r="L49" s="29"/>
    </row>
    <row r="50" spans="12:12" x14ac:dyDescent="0.3">
      <c r="L50" s="29"/>
    </row>
    <row r="51" spans="12:12" x14ac:dyDescent="0.3">
      <c r="L51" s="29"/>
    </row>
    <row r="52" spans="12:12" x14ac:dyDescent="0.3">
      <c r="L52" s="29"/>
    </row>
    <row r="53" spans="12:12" x14ac:dyDescent="0.3">
      <c r="L53" s="29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FW21"/>
  <sheetViews>
    <sheetView showGridLines="0" topLeftCell="A3" zoomScaleNormal="100" workbookViewId="0">
      <selection activeCell="A4" sqref="A4"/>
    </sheetView>
  </sheetViews>
  <sheetFormatPr defaultColWidth="9.109375" defaultRowHeight="14.4" x14ac:dyDescent="0.3"/>
  <cols>
    <col min="1" max="1" width="20.5546875" style="37" customWidth="1"/>
    <col min="2" max="2" width="7.6640625" style="28" customWidth="1"/>
    <col min="3" max="3" width="7.44140625" style="28" customWidth="1"/>
    <col min="4" max="4" width="7.109375" style="28" customWidth="1"/>
    <col min="5" max="5" width="7.6640625" style="28" customWidth="1"/>
    <col min="6" max="6" width="7.44140625" style="28" customWidth="1"/>
    <col min="7" max="7" width="7.109375" style="28" customWidth="1"/>
    <col min="8" max="8" width="7.6640625" style="28" customWidth="1"/>
    <col min="9" max="9" width="7.44140625" style="28" customWidth="1"/>
    <col min="10" max="10" width="7.33203125" style="28" customWidth="1"/>
    <col min="11" max="16384" width="9.109375" style="28"/>
  </cols>
  <sheetData>
    <row r="1" spans="1:179" hidden="1" x14ac:dyDescent="0.3">
      <c r="A1" s="92"/>
      <c r="B1" s="25"/>
      <c r="C1" s="25"/>
      <c r="D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idden="1" x14ac:dyDescent="0.3">
      <c r="A2" s="92"/>
      <c r="B2" s="25"/>
      <c r="C2" s="25"/>
      <c r="D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x14ac:dyDescent="0.3">
      <c r="A4" s="182" t="s">
        <v>266</v>
      </c>
      <c r="B4" s="182"/>
      <c r="C4" s="182"/>
      <c r="D4" s="182"/>
      <c r="E4" s="182"/>
      <c r="F4" s="182"/>
      <c r="G4" s="182"/>
      <c r="H4" s="182"/>
      <c r="I4" s="182"/>
      <c r="J4" s="51" t="s">
        <v>315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x14ac:dyDescent="0.3">
      <c r="A5" s="807" t="s">
        <v>338</v>
      </c>
      <c r="B5" s="803" t="s">
        <v>561</v>
      </c>
      <c r="C5" s="804"/>
      <c r="D5" s="804"/>
      <c r="E5" s="803" t="s">
        <v>562</v>
      </c>
      <c r="F5" s="804"/>
      <c r="G5" s="805"/>
      <c r="H5" s="806" t="s">
        <v>588</v>
      </c>
      <c r="I5" s="804"/>
      <c r="J5" s="804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0.399999999999999" x14ac:dyDescent="0.3">
      <c r="A6" s="808"/>
      <c r="B6" s="171" t="s">
        <v>2</v>
      </c>
      <c r="C6" s="172" t="s">
        <v>155</v>
      </c>
      <c r="D6" s="172" t="s">
        <v>185</v>
      </c>
      <c r="E6" s="171" t="s">
        <v>2</v>
      </c>
      <c r="F6" s="172" t="s">
        <v>155</v>
      </c>
      <c r="G6" s="183" t="s">
        <v>185</v>
      </c>
      <c r="H6" s="173" t="s">
        <v>2</v>
      </c>
      <c r="I6" s="172" t="s">
        <v>155</v>
      </c>
      <c r="J6" s="172" t="s">
        <v>185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A7" s="696" t="s">
        <v>98</v>
      </c>
      <c r="B7" s="697">
        <f>+B11+B15</f>
        <v>10861.350999999999</v>
      </c>
      <c r="C7" s="698">
        <f>C11+C15</f>
        <v>353.71699999999998</v>
      </c>
      <c r="D7" s="699">
        <f t="shared" ref="D7:D18" si="0">IFERROR(C7*100/B7,0)</f>
        <v>3.2566574821124923</v>
      </c>
      <c r="E7" s="697">
        <f>E11+E15</f>
        <v>11153.47</v>
      </c>
      <c r="F7" s="698">
        <f>F11+F15</f>
        <v>325.65999999999997</v>
      </c>
      <c r="G7" s="700">
        <f t="shared" ref="G7:G18" si="1">IFERROR(F7*100/E7,0)</f>
        <v>2.9198088128627231</v>
      </c>
      <c r="H7" s="698">
        <f>H11+H15</f>
        <v>11568.786</v>
      </c>
      <c r="I7" s="698">
        <f>I11+I15</f>
        <v>356.53199999999998</v>
      </c>
      <c r="J7" s="699">
        <f t="shared" ref="J7:J18" si="2">IFERROR(I7*100/H7,0)</f>
        <v>3.0818445427203853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5" customHeight="1" x14ac:dyDescent="0.3">
      <c r="A8" s="666" t="s">
        <v>198</v>
      </c>
      <c r="B8" s="701">
        <f t="shared" ref="B8:B10" si="3">+B12+B16</f>
        <v>9830.5709999999999</v>
      </c>
      <c r="C8" s="702">
        <f t="shared" ref="C8:C10" si="4">C12+C16</f>
        <v>71.789999999999992</v>
      </c>
      <c r="D8" s="703">
        <f t="shared" si="0"/>
        <v>0.73027294141917076</v>
      </c>
      <c r="E8" s="701">
        <f t="shared" ref="E8:E10" si="5">+E12+E16</f>
        <v>10222.572</v>
      </c>
      <c r="F8" s="702">
        <f t="shared" ref="F8:F10" si="6">F12+F16</f>
        <v>76.516999999999996</v>
      </c>
      <c r="G8" s="704">
        <f t="shared" si="1"/>
        <v>0.7485102574968413</v>
      </c>
      <c r="H8" s="702">
        <f t="shared" ref="H8:H10" si="7">+H12+H16</f>
        <v>10501.447</v>
      </c>
      <c r="I8" s="702">
        <f t="shared" ref="I8:I10" si="8">I12+I16</f>
        <v>84.566000000000003</v>
      </c>
      <c r="J8" s="703">
        <f t="shared" si="2"/>
        <v>0.80527950100590906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5" customHeight="1" x14ac:dyDescent="0.3">
      <c r="A9" s="666" t="s">
        <v>199</v>
      </c>
      <c r="B9" s="701">
        <f t="shared" si="3"/>
        <v>787.93599999999992</v>
      </c>
      <c r="C9" s="702">
        <f t="shared" si="4"/>
        <v>82.919999999999987</v>
      </c>
      <c r="D9" s="703">
        <f t="shared" si="0"/>
        <v>10.523697356130446</v>
      </c>
      <c r="E9" s="701">
        <f t="shared" si="5"/>
        <v>700.12999999999988</v>
      </c>
      <c r="F9" s="702">
        <f t="shared" si="6"/>
        <v>76.947999999999993</v>
      </c>
      <c r="G9" s="704">
        <f t="shared" si="1"/>
        <v>10.990530330081556</v>
      </c>
      <c r="H9" s="702">
        <f t="shared" si="7"/>
        <v>826.29399999999998</v>
      </c>
      <c r="I9" s="702">
        <f t="shared" si="8"/>
        <v>88.549000000000007</v>
      </c>
      <c r="J9" s="703">
        <f t="shared" si="2"/>
        <v>10.716403604528173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5" customHeight="1" x14ac:dyDescent="0.3">
      <c r="A10" s="705" t="s">
        <v>200</v>
      </c>
      <c r="B10" s="706">
        <f t="shared" si="3"/>
        <v>242.84399999999999</v>
      </c>
      <c r="C10" s="707">
        <f t="shared" si="4"/>
        <v>199.00700000000001</v>
      </c>
      <c r="D10" s="703">
        <f t="shared" si="0"/>
        <v>81.948493683187564</v>
      </c>
      <c r="E10" s="706">
        <f t="shared" si="5"/>
        <v>230.768</v>
      </c>
      <c r="F10" s="707">
        <f t="shared" si="6"/>
        <v>172.19499999999999</v>
      </c>
      <c r="G10" s="704">
        <f t="shared" si="1"/>
        <v>74.618231297233578</v>
      </c>
      <c r="H10" s="707">
        <f t="shared" si="7"/>
        <v>241.04500000000002</v>
      </c>
      <c r="I10" s="707">
        <f t="shared" si="8"/>
        <v>183.417</v>
      </c>
      <c r="J10" s="703">
        <f t="shared" si="2"/>
        <v>76.092430873903211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5" customHeight="1" x14ac:dyDescent="0.3">
      <c r="A11" s="708" t="s">
        <v>186</v>
      </c>
      <c r="B11" s="697">
        <f>SUM(B12:B14)</f>
        <v>9677.6519999999982</v>
      </c>
      <c r="C11" s="698">
        <f>SUM(C12:C14)</f>
        <v>341.04699999999997</v>
      </c>
      <c r="D11" s="699">
        <f t="shared" si="0"/>
        <v>3.5240676147478753</v>
      </c>
      <c r="E11" s="697">
        <f>SUM(E12:E14)</f>
        <v>9876.235999999999</v>
      </c>
      <c r="F11" s="698">
        <f>SUM(F12:F14)</f>
        <v>312.87799999999999</v>
      </c>
      <c r="G11" s="700">
        <f t="shared" si="1"/>
        <v>3.1679882902757694</v>
      </c>
      <c r="H11" s="698">
        <f>SUM(H12:H14)</f>
        <v>10175.611999999999</v>
      </c>
      <c r="I11" s="698">
        <f>SUM(I12:I14)</f>
        <v>339.57399999999996</v>
      </c>
      <c r="J11" s="699">
        <f t="shared" si="2"/>
        <v>3.337135889222191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5" customHeight="1" x14ac:dyDescent="0.3">
      <c r="A12" s="709" t="s">
        <v>198</v>
      </c>
      <c r="B12" s="701">
        <v>8719.9959999999992</v>
      </c>
      <c r="C12" s="702">
        <v>64.671999999999997</v>
      </c>
      <c r="D12" s="703">
        <f t="shared" si="0"/>
        <v>0.7416517163539984</v>
      </c>
      <c r="E12" s="701">
        <v>9037.7369999999992</v>
      </c>
      <c r="F12" s="702">
        <v>68.369</v>
      </c>
      <c r="G12" s="704">
        <f t="shared" si="1"/>
        <v>0.75648361973799416</v>
      </c>
      <c r="H12" s="710">
        <v>9239.5859999999993</v>
      </c>
      <c r="I12" s="702">
        <v>76.266000000000005</v>
      </c>
      <c r="J12" s="703">
        <f t="shared" si="2"/>
        <v>0.82542659378894256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5" customHeight="1" x14ac:dyDescent="0.3">
      <c r="A13" s="709" t="s">
        <v>199</v>
      </c>
      <c r="B13" s="701">
        <v>715.59699999999998</v>
      </c>
      <c r="C13" s="702">
        <v>77.614999999999995</v>
      </c>
      <c r="D13" s="703">
        <f t="shared" si="0"/>
        <v>10.846188567028648</v>
      </c>
      <c r="E13" s="701">
        <v>608.76199999999994</v>
      </c>
      <c r="F13" s="702">
        <v>72.599999999999994</v>
      </c>
      <c r="G13" s="704">
        <f t="shared" si="1"/>
        <v>11.925842940262369</v>
      </c>
      <c r="H13" s="702">
        <v>697.125</v>
      </c>
      <c r="I13" s="702">
        <v>80.304000000000002</v>
      </c>
      <c r="J13" s="703">
        <f t="shared" si="2"/>
        <v>11.519311457772996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5" customHeight="1" x14ac:dyDescent="0.3">
      <c r="A14" s="711" t="s">
        <v>200</v>
      </c>
      <c r="B14" s="712">
        <v>242.059</v>
      </c>
      <c r="C14" s="713">
        <v>198.76</v>
      </c>
      <c r="D14" s="703">
        <f t="shared" si="0"/>
        <v>82.112212311874373</v>
      </c>
      <c r="E14" s="712">
        <v>229.73699999999999</v>
      </c>
      <c r="F14" s="713">
        <v>171.90899999999999</v>
      </c>
      <c r="G14" s="704">
        <f t="shared" si="1"/>
        <v>74.828608365217605</v>
      </c>
      <c r="H14" s="713">
        <v>238.90100000000001</v>
      </c>
      <c r="I14" s="713">
        <v>183.00399999999999</v>
      </c>
      <c r="J14" s="703">
        <f t="shared" si="2"/>
        <v>76.602442015730347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5" customHeight="1" x14ac:dyDescent="0.3">
      <c r="A15" s="714" t="s">
        <v>193</v>
      </c>
      <c r="B15" s="697">
        <f>SUM(B16:B18)</f>
        <v>1183.6990000000001</v>
      </c>
      <c r="C15" s="698">
        <f>SUM(C16:C18)</f>
        <v>12.67</v>
      </c>
      <c r="D15" s="699">
        <f t="shared" si="0"/>
        <v>1.0703734648757834</v>
      </c>
      <c r="E15" s="697">
        <f>SUM(E16:E18)</f>
        <v>1277.2339999999999</v>
      </c>
      <c r="F15" s="698">
        <f>SUM(F16:F18)</f>
        <v>12.781999999999998</v>
      </c>
      <c r="G15" s="700">
        <f t="shared" si="1"/>
        <v>1.0007563218642785</v>
      </c>
      <c r="H15" s="698">
        <f>SUM(H16:H18)</f>
        <v>1393.1740000000002</v>
      </c>
      <c r="I15" s="698">
        <f>SUM(I16:I18)</f>
        <v>16.958000000000002</v>
      </c>
      <c r="J15" s="699">
        <f t="shared" si="2"/>
        <v>1.2172205338313806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5" customHeight="1" x14ac:dyDescent="0.3">
      <c r="A16" s="666" t="s">
        <v>198</v>
      </c>
      <c r="B16" s="701">
        <v>1110.575</v>
      </c>
      <c r="C16" s="702">
        <v>7.1180000000000003</v>
      </c>
      <c r="D16" s="703">
        <f t="shared" si="0"/>
        <v>0.64092924836233489</v>
      </c>
      <c r="E16" s="701">
        <v>1184.835</v>
      </c>
      <c r="F16" s="702">
        <v>8.1479999999999997</v>
      </c>
      <c r="G16" s="704">
        <f t="shared" si="1"/>
        <v>0.68769069110888847</v>
      </c>
      <c r="H16" s="702">
        <v>1261.8610000000001</v>
      </c>
      <c r="I16" s="702">
        <v>8.3000000000000007</v>
      </c>
      <c r="J16" s="703">
        <f t="shared" si="2"/>
        <v>0.65775865963049818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5" customHeight="1" x14ac:dyDescent="0.3">
      <c r="A17" s="666" t="s">
        <v>199</v>
      </c>
      <c r="B17" s="701">
        <v>72.338999999999999</v>
      </c>
      <c r="C17" s="702">
        <v>5.3049999999999997</v>
      </c>
      <c r="D17" s="703">
        <f t="shared" si="0"/>
        <v>7.3335268665588416</v>
      </c>
      <c r="E17" s="701">
        <v>91.367999999999995</v>
      </c>
      <c r="F17" s="702">
        <v>4.3479999999999999</v>
      </c>
      <c r="G17" s="704">
        <f t="shared" si="1"/>
        <v>4.7587776902197714</v>
      </c>
      <c r="H17" s="702">
        <v>129.16900000000001</v>
      </c>
      <c r="I17" s="702">
        <v>8.2449999999999992</v>
      </c>
      <c r="J17" s="703">
        <f t="shared" si="2"/>
        <v>6.3831104986490557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5" customHeight="1" thickBot="1" x14ac:dyDescent="0.35">
      <c r="A18" s="668" t="s">
        <v>200</v>
      </c>
      <c r="B18" s="715">
        <v>0.78500000000000003</v>
      </c>
      <c r="C18" s="716">
        <v>0.247</v>
      </c>
      <c r="D18" s="703">
        <f t="shared" si="0"/>
        <v>31.464968152866241</v>
      </c>
      <c r="E18" s="715">
        <v>1.0309999999999999</v>
      </c>
      <c r="F18" s="716">
        <v>0.28599999999999998</v>
      </c>
      <c r="G18" s="717">
        <f t="shared" si="1"/>
        <v>27.740058195926284</v>
      </c>
      <c r="H18" s="716">
        <v>2.1440000000000001</v>
      </c>
      <c r="I18" s="716">
        <v>0.41299999999999998</v>
      </c>
      <c r="J18" s="703">
        <f t="shared" si="2"/>
        <v>19.263059701492534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x14ac:dyDescent="0.3">
      <c r="A19" s="801"/>
      <c r="B19" s="802"/>
      <c r="C19" s="802"/>
      <c r="D19" s="802"/>
      <c r="E19" s="802"/>
      <c r="F19" s="802"/>
      <c r="G19" s="802"/>
      <c r="H19" s="802"/>
      <c r="I19" s="802"/>
      <c r="J19" s="802"/>
    </row>
    <row r="20" spans="1:179" x14ac:dyDescent="0.3">
      <c r="A20" s="184"/>
    </row>
    <row r="21" spans="1:179" x14ac:dyDescent="0.3">
      <c r="A21" s="184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FW20"/>
  <sheetViews>
    <sheetView showGridLines="0" topLeftCell="A3" zoomScaleNormal="100" workbookViewId="0">
      <selection activeCell="A4" sqref="A4"/>
    </sheetView>
  </sheetViews>
  <sheetFormatPr defaultColWidth="9.109375" defaultRowHeight="14.4" x14ac:dyDescent="0.3"/>
  <cols>
    <col min="1" max="1" width="20.33203125" style="37" customWidth="1"/>
    <col min="2" max="2" width="7.88671875" style="28" bestFit="1" customWidth="1"/>
    <col min="3" max="3" width="6.44140625" style="28" bestFit="1" customWidth="1"/>
    <col min="4" max="4" width="7.33203125" style="28" customWidth="1"/>
    <col min="5" max="5" width="7.88671875" style="28" bestFit="1" customWidth="1"/>
    <col min="6" max="6" width="6.44140625" style="28" bestFit="1" customWidth="1"/>
    <col min="7" max="7" width="7.33203125" style="28" customWidth="1"/>
    <col min="8" max="8" width="8.88671875" style="28" customWidth="1"/>
    <col min="9" max="9" width="6.44140625" style="28" bestFit="1" customWidth="1"/>
    <col min="10" max="10" width="7.33203125" style="28" customWidth="1"/>
    <col min="11" max="16384" width="9.109375" style="28"/>
  </cols>
  <sheetData>
    <row r="1" spans="1:179" hidden="1" x14ac:dyDescent="0.3">
      <c r="A1" s="92"/>
      <c r="B1" s="25"/>
      <c r="C1" s="25"/>
      <c r="D1" s="25"/>
      <c r="E1" s="25"/>
      <c r="F1" s="25"/>
      <c r="G1" s="25"/>
      <c r="H1" s="25"/>
      <c r="I1" s="25"/>
      <c r="J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idden="1" x14ac:dyDescent="0.3">
      <c r="A2" s="92"/>
      <c r="B2" s="25"/>
      <c r="C2" s="25"/>
      <c r="D2" s="25"/>
      <c r="E2" s="25"/>
      <c r="F2" s="25"/>
      <c r="G2" s="25"/>
      <c r="H2" s="25"/>
      <c r="I2" s="25"/>
      <c r="J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92"/>
      <c r="B3" s="25"/>
      <c r="C3" s="25"/>
      <c r="D3" s="25"/>
      <c r="E3" s="25"/>
      <c r="F3" s="25"/>
      <c r="G3" s="25"/>
      <c r="H3" s="25"/>
      <c r="I3" s="25"/>
      <c r="J3" s="25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x14ac:dyDescent="0.3">
      <c r="A4" s="185" t="s">
        <v>434</v>
      </c>
      <c r="B4" s="185"/>
      <c r="C4" s="185"/>
      <c r="D4" s="185"/>
      <c r="E4" s="185"/>
      <c r="F4" s="185"/>
      <c r="G4" s="185"/>
      <c r="H4" s="185"/>
      <c r="I4" s="185"/>
      <c r="J4" s="51" t="s">
        <v>315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x14ac:dyDescent="0.3">
      <c r="A5" s="809" t="s">
        <v>201</v>
      </c>
      <c r="B5" s="810" t="s">
        <v>561</v>
      </c>
      <c r="C5" s="811"/>
      <c r="D5" s="812"/>
      <c r="E5" s="810" t="s">
        <v>562</v>
      </c>
      <c r="F5" s="811"/>
      <c r="G5" s="812"/>
      <c r="H5" s="813" t="str">
        <f>'Pr 3'!K1</f>
        <v>2023.</v>
      </c>
      <c r="I5" s="813"/>
      <c r="J5" s="81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20.399999999999999" x14ac:dyDescent="0.3">
      <c r="A6" s="809"/>
      <c r="B6" s="475" t="s">
        <v>2</v>
      </c>
      <c r="C6" s="476" t="s">
        <v>155</v>
      </c>
      <c r="D6" s="477" t="s">
        <v>185</v>
      </c>
      <c r="E6" s="475" t="s">
        <v>2</v>
      </c>
      <c r="F6" s="476" t="s">
        <v>155</v>
      </c>
      <c r="G6" s="477" t="s">
        <v>185</v>
      </c>
      <c r="H6" s="478" t="s">
        <v>2</v>
      </c>
      <c r="I6" s="476" t="s">
        <v>155</v>
      </c>
      <c r="J6" s="476" t="s">
        <v>185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x14ac:dyDescent="0.3">
      <c r="A7" s="665" t="s">
        <v>202</v>
      </c>
      <c r="B7" s="481">
        <f>+B10+B13+B16</f>
        <v>5705.1330000000007</v>
      </c>
      <c r="C7" s="479">
        <f>+C10+C13+C16</f>
        <v>322.51</v>
      </c>
      <c r="D7" s="482">
        <f>IFERROR(C7*100/B7,0)</f>
        <v>5.6529795186194605</v>
      </c>
      <c r="E7" s="481">
        <f>+E10+E13+E16</f>
        <v>5792.91</v>
      </c>
      <c r="F7" s="479">
        <f>+F10+F13+F16</f>
        <v>292.447</v>
      </c>
      <c r="G7" s="482">
        <f>IFERROR(F7*100/E7,0)</f>
        <v>5.0483608410971348</v>
      </c>
      <c r="H7" s="479">
        <f>+H10+H13+H16</f>
        <v>6056.5439999999999</v>
      </c>
      <c r="I7" s="479">
        <f>+I10+I13+I16</f>
        <v>314.91800000000001</v>
      </c>
      <c r="J7" s="483">
        <f>IFERROR(I7*100/H7,0)</f>
        <v>5.1996320013525867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x14ac:dyDescent="0.3">
      <c r="A8" s="666" t="s">
        <v>538</v>
      </c>
      <c r="B8" s="410">
        <f t="shared" ref="B8:I9" si="0">+B11+B14+B17</f>
        <v>2912.0720000000001</v>
      </c>
      <c r="C8" s="186">
        <f t="shared" si="0"/>
        <v>171.51300000000001</v>
      </c>
      <c r="D8" s="473">
        <f t="shared" ref="D8:D18" si="1">IFERROR(C8*100/B8,0)</f>
        <v>5.8897238804535048</v>
      </c>
      <c r="E8" s="410">
        <f t="shared" ref="E8:F8" si="2">+E11+E14+E17</f>
        <v>2868.2609999999995</v>
      </c>
      <c r="F8" s="186">
        <f t="shared" si="2"/>
        <v>140.90699999999998</v>
      </c>
      <c r="G8" s="473">
        <f>IFERROR(F8*100/E8,0)</f>
        <v>4.9126282440823905</v>
      </c>
      <c r="H8" s="186">
        <f t="shared" ref="H8:I8" si="3">+H11+H14+H17</f>
        <v>3038.6019999999994</v>
      </c>
      <c r="I8" s="186">
        <f t="shared" si="3"/>
        <v>158.84900000000002</v>
      </c>
      <c r="J8" s="471">
        <f>IFERROR(I8*100/H8,0)</f>
        <v>5.2277001068254432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5" customHeight="1" x14ac:dyDescent="0.3">
      <c r="A9" s="667" t="s">
        <v>424</v>
      </c>
      <c r="B9" s="486">
        <f t="shared" si="0"/>
        <v>2793.0610000000001</v>
      </c>
      <c r="C9" s="484">
        <f t="shared" si="0"/>
        <v>150.99700000000001</v>
      </c>
      <c r="D9" s="487">
        <f t="shared" si="1"/>
        <v>5.4061475921936539</v>
      </c>
      <c r="E9" s="486">
        <f t="shared" si="0"/>
        <v>2924.6489999999999</v>
      </c>
      <c r="F9" s="484">
        <f t="shared" si="0"/>
        <v>151.54</v>
      </c>
      <c r="G9" s="487">
        <f>IFERROR(F9*100/E9,0)</f>
        <v>5.1814764780320646</v>
      </c>
      <c r="H9" s="484">
        <f t="shared" si="0"/>
        <v>3017.942</v>
      </c>
      <c r="I9" s="484">
        <f t="shared" si="0"/>
        <v>156.06899999999999</v>
      </c>
      <c r="J9" s="488">
        <f>IFERROR(I9*100/H9,0)</f>
        <v>5.1713717493576743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x14ac:dyDescent="0.3">
      <c r="A10" s="665" t="s">
        <v>198</v>
      </c>
      <c r="B10" s="474">
        <f>+B11+B12</f>
        <v>4770.3860000000004</v>
      </c>
      <c r="C10" s="402">
        <f>+C11+C12</f>
        <v>60.646000000000001</v>
      </c>
      <c r="D10" s="472">
        <f>IFERROR(C10*100/B10,0)</f>
        <v>1.2713017353312708</v>
      </c>
      <c r="E10" s="474">
        <f>+E11+E12</f>
        <v>4978.4409999999998</v>
      </c>
      <c r="F10" s="402">
        <f>+F11+F12</f>
        <v>63.638000000000005</v>
      </c>
      <c r="G10" s="472">
        <f>IFERROR(F10*100/E10,0)</f>
        <v>1.2782716517078339</v>
      </c>
      <c r="H10" s="402">
        <f>+H11+H12</f>
        <v>5143.0889999999999</v>
      </c>
      <c r="I10" s="402">
        <f>+I11+I12</f>
        <v>68.388999999999982</v>
      </c>
      <c r="J10" s="489">
        <f>IFERROR(I10*100/H10,0)</f>
        <v>1.329726162623279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x14ac:dyDescent="0.3">
      <c r="A11" s="666" t="s">
        <v>538</v>
      </c>
      <c r="B11" s="410">
        <v>2364.4389999999999</v>
      </c>
      <c r="C11" s="186">
        <v>30.928999999999998</v>
      </c>
      <c r="D11" s="411">
        <f t="shared" si="1"/>
        <v>1.3080904180653423</v>
      </c>
      <c r="E11" s="410">
        <v>2423.1379999999999</v>
      </c>
      <c r="F11" s="186">
        <v>31.989000000000001</v>
      </c>
      <c r="G11" s="411">
        <f t="shared" ref="G11:G18" si="4">IFERROR(F11*100/E11,0)</f>
        <v>1.3201476762776203</v>
      </c>
      <c r="H11" s="186">
        <f>+'Pr 3'!B5</f>
        <v>2481.7449999999994</v>
      </c>
      <c r="I11" s="186">
        <f>+'Pr 3'!F5</f>
        <v>32.788999999999987</v>
      </c>
      <c r="J11" s="468">
        <f t="shared" ref="J11:J18" si="5">IFERROR(I11*100/H11,0)</f>
        <v>1.3212074568499179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5" customHeight="1" x14ac:dyDescent="0.3">
      <c r="A12" s="667" t="s">
        <v>424</v>
      </c>
      <c r="B12" s="410">
        <v>2405.9470000000001</v>
      </c>
      <c r="C12" s="186">
        <v>29.716999999999999</v>
      </c>
      <c r="D12" s="411">
        <f t="shared" si="1"/>
        <v>1.2351477401621895</v>
      </c>
      <c r="E12" s="410">
        <v>2555.3029999999999</v>
      </c>
      <c r="F12" s="186">
        <v>31.649000000000001</v>
      </c>
      <c r="G12" s="411">
        <f t="shared" si="4"/>
        <v>1.2385615326245067</v>
      </c>
      <c r="H12" s="186">
        <f>+'Pr 3'!B27</f>
        <v>2661.3440000000001</v>
      </c>
      <c r="I12" s="186">
        <f>+'Pr 3'!F27</f>
        <v>35.599999999999994</v>
      </c>
      <c r="J12" s="468">
        <f t="shared" si="5"/>
        <v>1.3376699892986399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x14ac:dyDescent="0.3">
      <c r="A13" s="665" t="s">
        <v>199</v>
      </c>
      <c r="B13" s="481">
        <f>+B14+B15</f>
        <v>707.95100000000002</v>
      </c>
      <c r="C13" s="479">
        <f>+C14+C15</f>
        <v>76.835999999999999</v>
      </c>
      <c r="D13" s="480">
        <f>IFERROR(C13*100/B13,0)</f>
        <v>10.853293518901731</v>
      </c>
      <c r="E13" s="481">
        <f>+E14+E15</f>
        <v>600.97800000000007</v>
      </c>
      <c r="F13" s="479">
        <f>+F14+F15</f>
        <v>71.881</v>
      </c>
      <c r="G13" s="480">
        <f>IFERROR(F13*100/E13,0)</f>
        <v>11.960670773306177</v>
      </c>
      <c r="H13" s="479">
        <f>+H14+H15</f>
        <v>692.95</v>
      </c>
      <c r="I13" s="479">
        <f>+I14+I15</f>
        <v>79.717999999999989</v>
      </c>
      <c r="J13" s="490">
        <f>IFERROR(I13*100/H13,0)</f>
        <v>11.504148928494118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x14ac:dyDescent="0.3">
      <c r="A14" s="666" t="s">
        <v>538</v>
      </c>
      <c r="B14" s="410">
        <v>431.108</v>
      </c>
      <c r="C14" s="186">
        <v>48.265000000000001</v>
      </c>
      <c r="D14" s="411">
        <f t="shared" si="1"/>
        <v>11.195570483498335</v>
      </c>
      <c r="E14" s="410">
        <v>329.798</v>
      </c>
      <c r="F14" s="186">
        <v>36.048999999999999</v>
      </c>
      <c r="G14" s="411">
        <f t="shared" si="4"/>
        <v>10.930630264586201</v>
      </c>
      <c r="H14" s="186">
        <f>+'Pr 3'!C5</f>
        <v>439.27300000000008</v>
      </c>
      <c r="I14" s="186">
        <f>+'Pr 3'!G5</f>
        <v>46.006</v>
      </c>
      <c r="J14" s="468">
        <f t="shared" si="5"/>
        <v>10.473213696266329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5" customHeight="1" x14ac:dyDescent="0.3">
      <c r="A15" s="667" t="s">
        <v>424</v>
      </c>
      <c r="B15" s="486">
        <v>276.84300000000002</v>
      </c>
      <c r="C15" s="484">
        <v>28.571000000000002</v>
      </c>
      <c r="D15" s="485">
        <f t="shared" si="1"/>
        <v>10.32028983936744</v>
      </c>
      <c r="E15" s="486">
        <v>271.18</v>
      </c>
      <c r="F15" s="484">
        <v>35.832000000000001</v>
      </c>
      <c r="G15" s="485">
        <f t="shared" si="4"/>
        <v>13.213363817390663</v>
      </c>
      <c r="H15" s="484">
        <f>+'Pr 3'!C27</f>
        <v>253.67699999999999</v>
      </c>
      <c r="I15" s="484">
        <f>+'Pr 3'!G27</f>
        <v>33.711999999999996</v>
      </c>
      <c r="J15" s="491">
        <f t="shared" si="5"/>
        <v>13.289340381666449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x14ac:dyDescent="0.3">
      <c r="A16" s="665" t="s">
        <v>200</v>
      </c>
      <c r="B16" s="474">
        <f>+B17+B18</f>
        <v>226.79599999999999</v>
      </c>
      <c r="C16" s="402">
        <f>+C17+C18</f>
        <v>185.02800000000002</v>
      </c>
      <c r="D16" s="472">
        <f>IFERROR(C16*100/B16,0)</f>
        <v>81.583449443552809</v>
      </c>
      <c r="E16" s="474">
        <f>+E17+E18</f>
        <v>213.49099999999999</v>
      </c>
      <c r="F16" s="402">
        <f>+F17+F18</f>
        <v>156.928</v>
      </c>
      <c r="G16" s="472">
        <f>IFERROR(F16*100/E16,0)</f>
        <v>73.505674712282953</v>
      </c>
      <c r="H16" s="402">
        <f>+H17+H18</f>
        <v>220.50500000000002</v>
      </c>
      <c r="I16" s="402">
        <f>+I17+I18</f>
        <v>166.81100000000004</v>
      </c>
      <c r="J16" s="489">
        <f>IFERROR(I16*100/H16,0)</f>
        <v>75.649531756649509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5" customHeight="1" x14ac:dyDescent="0.3">
      <c r="A17" s="666" t="s">
        <v>538</v>
      </c>
      <c r="B17" s="410">
        <v>116.52500000000001</v>
      </c>
      <c r="C17" s="186">
        <v>92.319000000000003</v>
      </c>
      <c r="D17" s="411">
        <f t="shared" si="1"/>
        <v>79.226775370092241</v>
      </c>
      <c r="E17" s="410">
        <v>115.325</v>
      </c>
      <c r="F17" s="186">
        <v>72.869</v>
      </c>
      <c r="G17" s="411">
        <f t="shared" si="4"/>
        <v>63.185779319314975</v>
      </c>
      <c r="H17" s="186">
        <f>+'Pr 3'!D5</f>
        <v>117.58400000000003</v>
      </c>
      <c r="I17" s="186">
        <f>+'Pr 3'!H5</f>
        <v>80.05400000000003</v>
      </c>
      <c r="J17" s="468">
        <f t="shared" si="5"/>
        <v>68.082392162198943</v>
      </c>
      <c r="R17" s="52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5" customHeight="1" thickBot="1" x14ac:dyDescent="0.35">
      <c r="A18" s="668" t="s">
        <v>424</v>
      </c>
      <c r="B18" s="412">
        <v>110.271</v>
      </c>
      <c r="C18" s="189">
        <v>92.709000000000003</v>
      </c>
      <c r="D18" s="413">
        <f t="shared" si="1"/>
        <v>84.073781864678836</v>
      </c>
      <c r="E18" s="412">
        <v>98.165999999999997</v>
      </c>
      <c r="F18" s="189">
        <v>84.058999999999997</v>
      </c>
      <c r="G18" s="413">
        <f t="shared" si="4"/>
        <v>85.629444003015294</v>
      </c>
      <c r="H18" s="189">
        <f>+'Pr 3'!D27</f>
        <v>102.92099999999999</v>
      </c>
      <c r="I18" s="189">
        <f>+'Pr 3'!H27</f>
        <v>86.757000000000005</v>
      </c>
      <c r="J18" s="190">
        <f t="shared" si="5"/>
        <v>84.294750342495718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20" spans="1:179" x14ac:dyDescent="0.3">
      <c r="A20" s="31"/>
      <c r="B20" s="39"/>
      <c r="C20" s="39"/>
      <c r="D20" s="39"/>
      <c r="E20" s="39"/>
      <c r="F20" s="39"/>
      <c r="G20" s="39"/>
      <c r="H20" s="39"/>
      <c r="I20" s="39"/>
      <c r="J20" s="39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FW21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30.6640625" style="204" customWidth="1"/>
    <col min="2" max="9" width="7.109375" style="3" customWidth="1"/>
    <col min="10" max="16384" width="9.109375" style="3"/>
  </cols>
  <sheetData>
    <row r="1" spans="1:179" ht="14.4" hidden="1" x14ac:dyDescent="0.3">
      <c r="B1" s="36"/>
      <c r="C1" s="36"/>
      <c r="D1" s="36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268</v>
      </c>
      <c r="B3" s="208"/>
      <c r="C3" s="208"/>
      <c r="D3" s="208"/>
      <c r="E3" s="208"/>
      <c r="F3" s="48"/>
      <c r="G3" s="48"/>
      <c r="H3" s="48"/>
      <c r="I3" s="51" t="s">
        <v>3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" customHeight="1" x14ac:dyDescent="0.3">
      <c r="A4" s="816" t="s">
        <v>119</v>
      </c>
      <c r="B4" s="820" t="s">
        <v>562</v>
      </c>
      <c r="C4" s="821"/>
      <c r="D4" s="821"/>
      <c r="E4" s="822"/>
      <c r="F4" s="820" t="s">
        <v>588</v>
      </c>
      <c r="G4" s="821"/>
      <c r="H4" s="821"/>
      <c r="I4" s="821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20.25" customHeight="1" x14ac:dyDescent="0.3">
      <c r="A5" s="816"/>
      <c r="B5" s="818" t="s">
        <v>566</v>
      </c>
      <c r="C5" s="819"/>
      <c r="D5" s="819" t="s">
        <v>569</v>
      </c>
      <c r="E5" s="823"/>
      <c r="F5" s="818" t="s">
        <v>566</v>
      </c>
      <c r="G5" s="819"/>
      <c r="H5" s="819" t="s">
        <v>569</v>
      </c>
      <c r="I5" s="819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5" customHeight="1" x14ac:dyDescent="0.3">
      <c r="A6" s="817"/>
      <c r="B6" s="205" t="s">
        <v>120</v>
      </c>
      <c r="C6" s="206" t="s">
        <v>121</v>
      </c>
      <c r="D6" s="206" t="s">
        <v>120</v>
      </c>
      <c r="E6" s="207" t="s">
        <v>121</v>
      </c>
      <c r="F6" s="205" t="s">
        <v>120</v>
      </c>
      <c r="G6" s="206" t="s">
        <v>121</v>
      </c>
      <c r="H6" s="206" t="s">
        <v>120</v>
      </c>
      <c r="I6" s="206" t="s">
        <v>121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198" t="s">
        <v>340</v>
      </c>
      <c r="B7" s="446">
        <v>3.9853999999999998</v>
      </c>
      <c r="C7" s="447">
        <v>4.7355999999999998</v>
      </c>
      <c r="D7" s="447">
        <v>2.0510000000000002</v>
      </c>
      <c r="E7" s="448">
        <v>2.3148</v>
      </c>
      <c r="F7" s="446">
        <v>4.7279</v>
      </c>
      <c r="G7" s="447">
        <v>5.6144999999999996</v>
      </c>
      <c r="H7" s="447">
        <v>1.9452</v>
      </c>
      <c r="I7" s="447">
        <v>2.1429999999999998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199" t="s">
        <v>341</v>
      </c>
      <c r="B8" s="440">
        <v>3.5150000000000001</v>
      </c>
      <c r="C8" s="441">
        <v>3.7012</v>
      </c>
      <c r="D8" s="441"/>
      <c r="E8" s="442"/>
      <c r="F8" s="440">
        <v>7.6220999999999997</v>
      </c>
      <c r="G8" s="441">
        <v>7.9132999999999996</v>
      </c>
      <c r="H8" s="441"/>
      <c r="I8" s="441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199" t="s">
        <v>342</v>
      </c>
      <c r="B9" s="440">
        <v>3.6757</v>
      </c>
      <c r="C9" s="441">
        <v>4.2564000000000002</v>
      </c>
      <c r="D9" s="441">
        <v>1.99</v>
      </c>
      <c r="E9" s="442">
        <v>2.1741999999999999</v>
      </c>
      <c r="F9" s="440">
        <v>4.3951000000000002</v>
      </c>
      <c r="G9" s="441">
        <v>5.1127000000000002</v>
      </c>
      <c r="H9" s="441">
        <v>1.9094</v>
      </c>
      <c r="I9" s="441">
        <v>2.0680000000000001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199" t="s">
        <v>417</v>
      </c>
      <c r="B10" s="440">
        <v>3.536</v>
      </c>
      <c r="C10" s="441">
        <v>4.3521999999999998</v>
      </c>
      <c r="D10" s="441"/>
      <c r="E10" s="442"/>
      <c r="F10" s="440">
        <v>3.4436</v>
      </c>
      <c r="G10" s="441">
        <v>3.8534999999999999</v>
      </c>
      <c r="H10" s="441"/>
      <c r="I10" s="441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199" t="s">
        <v>343</v>
      </c>
      <c r="B11" s="440">
        <v>9.0545000000000009</v>
      </c>
      <c r="C11" s="441">
        <v>12.559699999999999</v>
      </c>
      <c r="D11" s="441">
        <v>7.7398999999999996</v>
      </c>
      <c r="E11" s="442">
        <v>15.6648</v>
      </c>
      <c r="F11" s="440">
        <v>9.1999999999999993</v>
      </c>
      <c r="G11" s="441">
        <v>12.4536</v>
      </c>
      <c r="H11" s="441">
        <v>8.2609999999999992</v>
      </c>
      <c r="I11" s="441">
        <v>15.475300000000001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200" t="s">
        <v>344</v>
      </c>
      <c r="B12" s="443">
        <v>2.3239999999999998</v>
      </c>
      <c r="C12" s="444">
        <v>2.5916000000000001</v>
      </c>
      <c r="D12" s="444">
        <v>7.75</v>
      </c>
      <c r="E12" s="445">
        <v>9.0500000000000007</v>
      </c>
      <c r="F12" s="443">
        <v>7.4413</v>
      </c>
      <c r="G12" s="444">
        <v>10.8673</v>
      </c>
      <c r="H12" s="444">
        <v>7.75</v>
      </c>
      <c r="I12" s="444">
        <v>9.08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201" t="s">
        <v>345</v>
      </c>
      <c r="B13" s="446">
        <v>5.5293000000000001</v>
      </c>
      <c r="C13" s="447">
        <v>6.5182000000000002</v>
      </c>
      <c r="D13" s="447">
        <v>4.4745999999999997</v>
      </c>
      <c r="E13" s="448">
        <v>5.4504999999999999</v>
      </c>
      <c r="F13" s="446">
        <v>6.1380999999999997</v>
      </c>
      <c r="G13" s="447">
        <v>7.3167</v>
      </c>
      <c r="H13" s="447">
        <v>5.0186000000000002</v>
      </c>
      <c r="I13" s="447">
        <v>6.0490000000000004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199" t="s">
        <v>341</v>
      </c>
      <c r="B14" s="440">
        <v>4.5831</v>
      </c>
      <c r="C14" s="441">
        <v>4.7366999999999999</v>
      </c>
      <c r="D14" s="441">
        <v>2.6772999999999998</v>
      </c>
      <c r="E14" s="442">
        <v>2.8405999999999998</v>
      </c>
      <c r="F14" s="440">
        <v>6.4009</v>
      </c>
      <c r="G14" s="441">
        <v>6.6611000000000002</v>
      </c>
      <c r="H14" s="441">
        <v>6.17</v>
      </c>
      <c r="I14" s="441">
        <v>6.53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199" t="s">
        <v>342</v>
      </c>
      <c r="B15" s="440">
        <v>5.1714000000000002</v>
      </c>
      <c r="C15" s="441">
        <v>5.6124000000000001</v>
      </c>
      <c r="D15" s="441">
        <v>3.6637</v>
      </c>
      <c r="E15" s="442">
        <v>4.1653000000000002</v>
      </c>
      <c r="F15" s="440">
        <v>6.0784000000000002</v>
      </c>
      <c r="G15" s="441">
        <v>7.0288000000000004</v>
      </c>
      <c r="H15" s="441">
        <v>4.4151999999999996</v>
      </c>
      <c r="I15" s="441">
        <v>4.7534000000000001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3">
      <c r="A16" s="199" t="s">
        <v>417</v>
      </c>
      <c r="B16" s="440">
        <v>4.2409999999999997</v>
      </c>
      <c r="C16" s="441">
        <v>4.5129999999999999</v>
      </c>
      <c r="D16" s="441">
        <v>2.85</v>
      </c>
      <c r="E16" s="442">
        <v>2.96</v>
      </c>
      <c r="F16" s="440">
        <v>4.6761999999999997</v>
      </c>
      <c r="G16" s="441">
        <v>5.1405000000000003</v>
      </c>
      <c r="H16" s="441"/>
      <c r="I16" s="441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1" customHeight="1" x14ac:dyDescent="0.3">
      <c r="A17" s="199" t="s">
        <v>343</v>
      </c>
      <c r="B17" s="440">
        <v>5.8914999999999997</v>
      </c>
      <c r="C17" s="441">
        <v>7.3577000000000004</v>
      </c>
      <c r="D17" s="441">
        <v>4.9528999999999996</v>
      </c>
      <c r="E17" s="442">
        <v>6.1978999999999997</v>
      </c>
      <c r="F17" s="440">
        <v>6.2805999999999997</v>
      </c>
      <c r="G17" s="441">
        <v>7.8090000000000002</v>
      </c>
      <c r="H17" s="441">
        <v>5.1589</v>
      </c>
      <c r="I17" s="441">
        <v>6.3719999999999999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1" customHeight="1" x14ac:dyDescent="0.3">
      <c r="A18" s="202" t="s">
        <v>346</v>
      </c>
      <c r="B18" s="440">
        <v>3.9199000000000002</v>
      </c>
      <c r="C18" s="441">
        <v>4.3536999999999999</v>
      </c>
      <c r="D18" s="441">
        <v>3.2726999999999999</v>
      </c>
      <c r="E18" s="442">
        <v>3.9258000000000002</v>
      </c>
      <c r="F18" s="440">
        <v>4.1985999999999999</v>
      </c>
      <c r="G18" s="441">
        <v>4.8525</v>
      </c>
      <c r="H18" s="441">
        <v>3.6171000000000002</v>
      </c>
      <c r="I18" s="441">
        <v>4.1007999999999996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1" customHeight="1" x14ac:dyDescent="0.3">
      <c r="A19" s="200" t="s">
        <v>344</v>
      </c>
      <c r="B19" s="443">
        <v>4.3350999999999997</v>
      </c>
      <c r="C19" s="444">
        <v>4.7371999999999996</v>
      </c>
      <c r="D19" s="444"/>
      <c r="E19" s="445"/>
      <c r="F19" s="443">
        <v>5.7657999999999996</v>
      </c>
      <c r="G19" s="444">
        <v>6.1304999999999996</v>
      </c>
      <c r="H19" s="444">
        <v>5.2</v>
      </c>
      <c r="I19" s="444">
        <v>5.55</v>
      </c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14.1" customHeight="1" thickBot="1" x14ac:dyDescent="0.35">
      <c r="A20" s="203" t="s">
        <v>347</v>
      </c>
      <c r="B20" s="449">
        <v>5.1025999999999998</v>
      </c>
      <c r="C20" s="450">
        <v>6.0255000000000001</v>
      </c>
      <c r="D20" s="450">
        <v>3.6263000000000001</v>
      </c>
      <c r="E20" s="451">
        <v>4.3529</v>
      </c>
      <c r="F20" s="449">
        <v>5.8353999999999999</v>
      </c>
      <c r="G20" s="450">
        <v>6.9512999999999998</v>
      </c>
      <c r="H20" s="450">
        <v>3.6015000000000001</v>
      </c>
      <c r="I20" s="450">
        <v>4.2481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4.4" x14ac:dyDescent="0.3">
      <c r="A21" s="814" t="s">
        <v>139</v>
      </c>
      <c r="B21" s="815"/>
      <c r="C21" s="815"/>
      <c r="D21" s="815"/>
      <c r="E21" s="815"/>
      <c r="F21" s="815"/>
      <c r="G21" s="815"/>
      <c r="H21" s="815"/>
      <c r="I21" s="815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FW10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35.88671875" style="3" customWidth="1"/>
    <col min="2" max="9" width="6.5546875" style="3" customWidth="1"/>
    <col min="10" max="16384" width="9.109375" style="3"/>
  </cols>
  <sheetData>
    <row r="1" spans="1:179" ht="14.4" hidden="1" customHeight="1" x14ac:dyDescent="0.3">
      <c r="B1" s="36"/>
      <c r="C1" s="36"/>
      <c r="D1" s="36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269</v>
      </c>
      <c r="B3" s="48"/>
      <c r="C3" s="48"/>
      <c r="D3" s="48"/>
      <c r="E3" s="48"/>
      <c r="F3" s="48"/>
      <c r="G3" s="48"/>
      <c r="H3" s="48"/>
      <c r="I3" s="51" t="s">
        <v>3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828" t="s">
        <v>119</v>
      </c>
      <c r="B4" s="825" t="s">
        <v>562</v>
      </c>
      <c r="C4" s="826"/>
      <c r="D4" s="826"/>
      <c r="E4" s="827"/>
      <c r="F4" s="826" t="s">
        <v>588</v>
      </c>
      <c r="G4" s="826"/>
      <c r="H4" s="826"/>
      <c r="I4" s="826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30.6" customHeight="1" x14ac:dyDescent="0.3">
      <c r="A5" s="829"/>
      <c r="B5" s="818" t="s">
        <v>566</v>
      </c>
      <c r="C5" s="819"/>
      <c r="D5" s="819" t="s">
        <v>569</v>
      </c>
      <c r="E5" s="823"/>
      <c r="F5" s="818" t="s">
        <v>566</v>
      </c>
      <c r="G5" s="819"/>
      <c r="H5" s="819" t="s">
        <v>569</v>
      </c>
      <c r="I5" s="82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2" customHeight="1" x14ac:dyDescent="0.3">
      <c r="A6" s="830"/>
      <c r="B6" s="205" t="s">
        <v>120</v>
      </c>
      <c r="C6" s="206" t="s">
        <v>121</v>
      </c>
      <c r="D6" s="206" t="s">
        <v>120</v>
      </c>
      <c r="E6" s="207" t="s">
        <v>121</v>
      </c>
      <c r="F6" s="206" t="s">
        <v>120</v>
      </c>
      <c r="G6" s="206" t="s">
        <v>121</v>
      </c>
      <c r="H6" s="206" t="s">
        <v>120</v>
      </c>
      <c r="I6" s="206" t="s">
        <v>121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232" t="s">
        <v>420</v>
      </c>
      <c r="B7" s="452">
        <v>0.63570000000000004</v>
      </c>
      <c r="C7" s="453">
        <v>0.6361</v>
      </c>
      <c r="D7" s="453">
        <v>0.25990000000000002</v>
      </c>
      <c r="E7" s="454">
        <v>0.25979999999999998</v>
      </c>
      <c r="F7" s="453">
        <v>1.6564000000000001</v>
      </c>
      <c r="G7" s="453">
        <v>1.6516</v>
      </c>
      <c r="H7" s="453">
        <v>0.34460000000000002</v>
      </c>
      <c r="I7" s="453">
        <v>0.34610000000000002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232" t="s">
        <v>419</v>
      </c>
      <c r="B8" s="452">
        <v>1.4957</v>
      </c>
      <c r="C8" s="453">
        <v>1.4991000000000001</v>
      </c>
      <c r="D8" s="453">
        <v>0.29780000000000001</v>
      </c>
      <c r="E8" s="454">
        <v>0.30309999999999998</v>
      </c>
      <c r="F8" s="453">
        <v>2.33</v>
      </c>
      <c r="G8" s="453">
        <v>2.3344</v>
      </c>
      <c r="H8" s="453">
        <v>1.6119000000000001</v>
      </c>
      <c r="I8" s="453">
        <v>1.6146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thickBot="1" x14ac:dyDescent="0.35">
      <c r="A9" s="233" t="s">
        <v>418</v>
      </c>
      <c r="B9" s="455">
        <v>1.0267999999999999</v>
      </c>
      <c r="C9" s="456">
        <v>1.0285</v>
      </c>
      <c r="D9" s="456">
        <v>0.27179999999999999</v>
      </c>
      <c r="E9" s="457">
        <v>0.27339999999999998</v>
      </c>
      <c r="F9" s="456">
        <v>2.2065999999999999</v>
      </c>
      <c r="G9" s="456">
        <v>2.2092000000000001</v>
      </c>
      <c r="H9" s="456">
        <v>1.0946</v>
      </c>
      <c r="I9" s="456">
        <v>1.0968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4" x14ac:dyDescent="0.3">
      <c r="A10" s="824" t="s">
        <v>139</v>
      </c>
      <c r="B10" s="815"/>
      <c r="C10" s="815"/>
      <c r="D10" s="815"/>
      <c r="E10" s="815"/>
      <c r="F10" s="815"/>
      <c r="G10" s="815"/>
      <c r="H10" s="815"/>
      <c r="I10" s="815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FW13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32.33203125" style="3" customWidth="1"/>
    <col min="2" max="9" width="7.44140625" style="3" customWidth="1"/>
    <col min="10" max="16384" width="9.109375" style="3"/>
  </cols>
  <sheetData>
    <row r="1" spans="1:179" ht="14.4" hidden="1" x14ac:dyDescent="0.3">
      <c r="B1" s="25"/>
      <c r="C1" s="25"/>
      <c r="D1" s="25"/>
      <c r="E1" s="25"/>
      <c r="F1" s="25"/>
      <c r="G1" s="25"/>
      <c r="H1" s="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270</v>
      </c>
      <c r="B3" s="48"/>
      <c r="C3" s="48"/>
      <c r="D3" s="48"/>
      <c r="E3" s="48"/>
      <c r="F3" s="48"/>
      <c r="G3" s="48"/>
      <c r="H3" s="48"/>
      <c r="I3" s="51" t="s">
        <v>3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" customHeight="1" x14ac:dyDescent="0.3">
      <c r="A4" s="828" t="s">
        <v>119</v>
      </c>
      <c r="B4" s="825" t="s">
        <v>562</v>
      </c>
      <c r="C4" s="826"/>
      <c r="D4" s="826"/>
      <c r="E4" s="827"/>
      <c r="F4" s="826" t="s">
        <v>588</v>
      </c>
      <c r="G4" s="826"/>
      <c r="H4" s="826"/>
      <c r="I4" s="826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30.6" customHeight="1" x14ac:dyDescent="0.3">
      <c r="A5" s="829"/>
      <c r="B5" s="818" t="s">
        <v>566</v>
      </c>
      <c r="C5" s="819"/>
      <c r="D5" s="819" t="s">
        <v>569</v>
      </c>
      <c r="E5" s="823"/>
      <c r="F5" s="818" t="s">
        <v>566</v>
      </c>
      <c r="G5" s="819"/>
      <c r="H5" s="819" t="s">
        <v>569</v>
      </c>
      <c r="I5" s="823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2" customHeight="1" x14ac:dyDescent="0.3">
      <c r="A6" s="830"/>
      <c r="B6" s="205" t="s">
        <v>120</v>
      </c>
      <c r="C6" s="206" t="s">
        <v>121</v>
      </c>
      <c r="D6" s="206" t="s">
        <v>120</v>
      </c>
      <c r="E6" s="207" t="s">
        <v>121</v>
      </c>
      <c r="F6" s="206" t="s">
        <v>120</v>
      </c>
      <c r="G6" s="206" t="s">
        <v>121</v>
      </c>
      <c r="H6" s="206" t="s">
        <v>120</v>
      </c>
      <c r="I6" s="206" t="s">
        <v>121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24" x14ac:dyDescent="0.3">
      <c r="A7" s="234" t="s">
        <v>381</v>
      </c>
      <c r="B7" s="458"/>
      <c r="C7" s="459"/>
      <c r="D7" s="459"/>
      <c r="E7" s="460"/>
      <c r="F7" s="459"/>
      <c r="G7" s="459"/>
      <c r="H7" s="459"/>
      <c r="I7" s="459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235" t="s">
        <v>409</v>
      </c>
      <c r="B8" s="452">
        <v>7.1040000000000001</v>
      </c>
      <c r="C8" s="453">
        <v>8.0356000000000005</v>
      </c>
      <c r="D8" s="453">
        <v>6.6337000000000002</v>
      </c>
      <c r="E8" s="454">
        <v>6.9188000000000001</v>
      </c>
      <c r="F8" s="453">
        <v>7.4099000000000004</v>
      </c>
      <c r="G8" s="453">
        <v>8.2493999999999996</v>
      </c>
      <c r="H8" s="453">
        <v>6.1280999999999999</v>
      </c>
      <c r="I8" s="453">
        <v>6.3884999999999996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236" t="s">
        <v>580</v>
      </c>
      <c r="B9" s="461">
        <v>13.0465</v>
      </c>
      <c r="C9" s="462">
        <v>15.2018</v>
      </c>
      <c r="D9" s="462">
        <v>13.6723</v>
      </c>
      <c r="E9" s="463">
        <v>14.309699999999999</v>
      </c>
      <c r="F9" s="462">
        <v>13.0381</v>
      </c>
      <c r="G9" s="462">
        <v>14.9955</v>
      </c>
      <c r="H9" s="462">
        <v>13.7029</v>
      </c>
      <c r="I9" s="462">
        <v>14.343299999999999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234" t="s">
        <v>382</v>
      </c>
      <c r="B10" s="458"/>
      <c r="C10" s="459"/>
      <c r="D10" s="459"/>
      <c r="E10" s="460"/>
      <c r="F10" s="459"/>
      <c r="G10" s="459"/>
      <c r="H10" s="459"/>
      <c r="I10" s="459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235" t="s">
        <v>409</v>
      </c>
      <c r="B11" s="452">
        <v>0.02</v>
      </c>
      <c r="C11" s="453">
        <v>2.01E-2</v>
      </c>
      <c r="D11" s="453">
        <v>1.0800000000000001E-2</v>
      </c>
      <c r="E11" s="454">
        <v>1.0800000000000001E-2</v>
      </c>
      <c r="F11" s="453">
        <v>9.7999999999999997E-3</v>
      </c>
      <c r="G11" s="453">
        <v>9.9000000000000008E-3</v>
      </c>
      <c r="H11" s="453">
        <v>0.01</v>
      </c>
      <c r="I11" s="453">
        <v>0.01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thickBot="1" x14ac:dyDescent="0.35">
      <c r="A12" s="237" t="s">
        <v>581</v>
      </c>
      <c r="B12" s="464">
        <v>1.5100000000000001E-2</v>
      </c>
      <c r="C12" s="465">
        <v>1.5100000000000001E-2</v>
      </c>
      <c r="D12" s="465">
        <v>2.0299999999999999E-2</v>
      </c>
      <c r="E12" s="466">
        <v>2.0299999999999999E-2</v>
      </c>
      <c r="F12" s="465">
        <v>1.06E-2</v>
      </c>
      <c r="G12" s="465">
        <v>1.06E-2</v>
      </c>
      <c r="H12" s="465">
        <v>1.8800000000000001E-2</v>
      </c>
      <c r="I12" s="465">
        <v>1.8800000000000001E-2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4" x14ac:dyDescent="0.3">
      <c r="A13" s="238" t="s">
        <v>139</v>
      </c>
      <c r="B13" s="239"/>
      <c r="C13" s="239"/>
      <c r="D13" s="239"/>
      <c r="E13" s="239"/>
      <c r="F13" s="239"/>
      <c r="G13" s="239"/>
      <c r="H13" s="239"/>
      <c r="I13" s="239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rgb="FFDCDCDC"/>
  </sheetPr>
  <dimension ref="A2:N67"/>
  <sheetViews>
    <sheetView showGridLines="0" topLeftCell="B1" zoomScaleNormal="100" workbookViewId="0">
      <selection activeCell="B2" sqref="B2"/>
    </sheetView>
  </sheetViews>
  <sheetFormatPr defaultRowHeight="14.4" x14ac:dyDescent="0.3"/>
  <cols>
    <col min="1" max="1" width="6.5546875" hidden="1" customWidth="1"/>
    <col min="2" max="2" width="47.6640625" customWidth="1"/>
    <col min="3" max="5" width="7.6640625" customWidth="1"/>
    <col min="6" max="6" width="6.88671875" bestFit="1" customWidth="1"/>
    <col min="7" max="7" width="9.109375" style="47" hidden="1" customWidth="1"/>
    <col min="8" max="8" width="8.88671875" hidden="1" customWidth="1"/>
    <col min="9" max="9" width="9.109375" style="47" hidden="1" customWidth="1"/>
    <col min="10" max="10" width="8.6640625" style="318" hidden="1" customWidth="1"/>
    <col min="11" max="11" width="9.109375" style="47" hidden="1" customWidth="1"/>
    <col min="12" max="12" width="8.6640625" style="3" hidden="1" customWidth="1"/>
    <col min="13" max="13" width="9.109375" style="47" hidden="1" customWidth="1"/>
    <col min="14" max="14" width="8.6640625" style="3" hidden="1" customWidth="1"/>
    <col min="16" max="16" width="8.88671875" customWidth="1"/>
  </cols>
  <sheetData>
    <row r="2" spans="2:14" x14ac:dyDescent="0.3">
      <c r="B2" s="48" t="s">
        <v>5</v>
      </c>
      <c r="C2" s="48"/>
      <c r="D2" s="48"/>
      <c r="E2" s="278"/>
      <c r="F2" s="278" t="s">
        <v>315</v>
      </c>
      <c r="G2"/>
    </row>
    <row r="3" spans="2:14" ht="15" customHeight="1" x14ac:dyDescent="0.3">
      <c r="B3" s="598" t="s">
        <v>10</v>
      </c>
      <c r="C3" s="603">
        <v>2021</v>
      </c>
      <c r="D3" s="598">
        <v>2022</v>
      </c>
      <c r="E3" s="604">
        <v>2023</v>
      </c>
      <c r="F3" s="599" t="s">
        <v>9</v>
      </c>
      <c r="G3"/>
      <c r="I3" s="833" t="s">
        <v>561</v>
      </c>
      <c r="J3" s="834"/>
      <c r="K3" s="833" t="s">
        <v>562</v>
      </c>
      <c r="L3" s="834"/>
      <c r="M3" s="833" t="s">
        <v>588</v>
      </c>
      <c r="N3" s="834"/>
    </row>
    <row r="4" spans="2:14" s="320" customFormat="1" ht="12" customHeight="1" x14ac:dyDescent="0.3">
      <c r="B4" s="597">
        <v>1</v>
      </c>
      <c r="C4" s="605">
        <v>2</v>
      </c>
      <c r="D4" s="597">
        <v>3</v>
      </c>
      <c r="E4" s="606">
        <v>4</v>
      </c>
      <c r="F4" s="608">
        <v>5</v>
      </c>
      <c r="I4" s="525" t="s">
        <v>214</v>
      </c>
      <c r="J4" s="526">
        <v>1005.833</v>
      </c>
      <c r="K4" s="520" t="s">
        <v>214</v>
      </c>
      <c r="L4" s="526">
        <v>1089.299</v>
      </c>
      <c r="M4" s="520" t="s">
        <v>214</v>
      </c>
      <c r="N4" s="526">
        <v>1188.3019999999999</v>
      </c>
    </row>
    <row r="5" spans="2:14" ht="12.45" customHeight="1" x14ac:dyDescent="0.3">
      <c r="B5" s="600" t="s">
        <v>32</v>
      </c>
      <c r="C5" s="612">
        <f>IFERROR(VLOOKUP($G5,I$4:J$41,2,FALSE),0)</f>
        <v>1005.833</v>
      </c>
      <c r="D5" s="612">
        <f>IFERROR(VLOOKUP($G5,K$4:L$41,2,FALSE),0)</f>
        <v>1089.299</v>
      </c>
      <c r="E5" s="612">
        <f>IFERROR(VLOOKUP($G5,M$4:N$41,2,FALSE),0)</f>
        <v>1188.3019999999999</v>
      </c>
      <c r="F5" s="609">
        <f t="shared" ref="F5:F7" si="0">IF(ROUND(D5,1)&gt;0,E5*100/D5,"-")</f>
        <v>109.08868914779137</v>
      </c>
      <c r="G5" s="47" t="s">
        <v>214</v>
      </c>
      <c r="I5" s="520" t="s">
        <v>215</v>
      </c>
      <c r="J5" s="527">
        <v>962.03800000000001</v>
      </c>
      <c r="K5" s="47" t="s">
        <v>215</v>
      </c>
      <c r="L5" s="527">
        <v>1043.3800000000001</v>
      </c>
      <c r="M5" s="520" t="s">
        <v>215</v>
      </c>
      <c r="N5" s="527">
        <v>1130.0150000000001</v>
      </c>
    </row>
    <row r="6" spans="2:14" ht="12.45" customHeight="1" x14ac:dyDescent="0.3">
      <c r="B6" s="601" t="s">
        <v>34</v>
      </c>
      <c r="C6" s="613">
        <f>IFERROR(VLOOKUP($G6,I$4:J$41,2,FALSE),0)</f>
        <v>962.03800000000001</v>
      </c>
      <c r="D6" s="613">
        <f>IFERROR(VLOOKUP($G6,K$4:L$41,2,FALSE),0)</f>
        <v>1043.3800000000001</v>
      </c>
      <c r="E6" s="613">
        <f>IFERROR(VLOOKUP($G6,M$4:N$41,2,FALSE),0)</f>
        <v>1130.0150000000001</v>
      </c>
      <c r="F6" s="610">
        <f t="shared" si="0"/>
        <v>108.30330272767353</v>
      </c>
      <c r="G6" s="47" t="s">
        <v>215</v>
      </c>
      <c r="I6" s="520" t="s">
        <v>216</v>
      </c>
      <c r="J6" s="527">
        <v>956.03800000000001</v>
      </c>
      <c r="K6" s="47" t="s">
        <v>216</v>
      </c>
      <c r="L6" s="527">
        <v>1037.3800000000001</v>
      </c>
      <c r="M6" s="520" t="s">
        <v>216</v>
      </c>
      <c r="N6" s="527">
        <v>1124.0150000000001</v>
      </c>
    </row>
    <row r="7" spans="2:14" ht="12.45" customHeight="1" x14ac:dyDescent="0.3">
      <c r="B7" s="593" t="s">
        <v>527</v>
      </c>
      <c r="C7" s="614">
        <f>IFERROR(VLOOKUP($G7,I$4:J$41,2,FALSE),0)</f>
        <v>956.03800000000001</v>
      </c>
      <c r="D7" s="614">
        <f>IFERROR(VLOOKUP($G7,K$4:L$41,2,FALSE),0)</f>
        <v>1037.3800000000001</v>
      </c>
      <c r="E7" s="614">
        <f>IFERROR(VLOOKUP($G7,M$4:N$41,2,FALSE),0)</f>
        <v>1124.0150000000001</v>
      </c>
      <c r="F7" s="625">
        <f t="shared" si="0"/>
        <v>108.35132738244424</v>
      </c>
      <c r="G7" s="47" t="s">
        <v>216</v>
      </c>
      <c r="I7" s="520" t="s">
        <v>217</v>
      </c>
      <c r="J7" s="527">
        <v>703.09</v>
      </c>
      <c r="K7" s="47" t="s">
        <v>217</v>
      </c>
      <c r="L7" s="527">
        <v>707.83299999999997</v>
      </c>
      <c r="M7" s="520" t="s">
        <v>217</v>
      </c>
      <c r="N7" s="527">
        <v>711.38900000000001</v>
      </c>
    </row>
    <row r="8" spans="2:14" ht="12.45" customHeight="1" x14ac:dyDescent="0.3">
      <c r="B8" s="592" t="s">
        <v>513</v>
      </c>
      <c r="C8" s="615">
        <f>+SUM(C9:C14)</f>
        <v>993.16800000000012</v>
      </c>
      <c r="D8" s="615">
        <f t="shared" ref="D8:E8" si="1">+SUM(D9:D14)</f>
        <v>1082.57</v>
      </c>
      <c r="E8" s="615">
        <f t="shared" si="1"/>
        <v>1168.461</v>
      </c>
      <c r="F8" s="101">
        <f t="shared" ref="F8:F17" si="2">IF(ROUND(D8,1)&gt;0,E8*100/D8,"-")</f>
        <v>107.93399041170549</v>
      </c>
      <c r="I8" s="520" t="s">
        <v>218</v>
      </c>
      <c r="J8" s="527">
        <v>689.96100000000001</v>
      </c>
      <c r="K8" s="47" t="s">
        <v>218</v>
      </c>
      <c r="L8" s="527">
        <v>693.36500000000001</v>
      </c>
      <c r="M8" s="520" t="s">
        <v>218</v>
      </c>
      <c r="N8" s="527">
        <v>695.64099999999996</v>
      </c>
    </row>
    <row r="9" spans="2:14" ht="12.45" customHeight="1" x14ac:dyDescent="0.3">
      <c r="B9" s="595" t="s">
        <v>514</v>
      </c>
      <c r="C9" s="616">
        <f t="shared" ref="C9:C14" si="3">IFERROR(VLOOKUP($G9,I$4:J$41,2,FALSE),0)</f>
        <v>689.96100000000001</v>
      </c>
      <c r="D9" s="616">
        <f t="shared" ref="D9:D14" si="4">IFERROR(VLOOKUP($G9,K$4:L$41,2,FALSE),0)</f>
        <v>693.36500000000001</v>
      </c>
      <c r="E9" s="616">
        <f t="shared" ref="E9:E14" si="5">IFERROR(VLOOKUP($G9,M$4:N$41,2,FALSE),0)</f>
        <v>695.64099999999996</v>
      </c>
      <c r="F9" s="50">
        <f t="shared" si="2"/>
        <v>100.32825423838814</v>
      </c>
      <c r="G9" s="47" t="s">
        <v>218</v>
      </c>
      <c r="I9" s="520" t="s">
        <v>219</v>
      </c>
      <c r="J9" s="527">
        <v>0</v>
      </c>
      <c r="K9" s="47" t="s">
        <v>219</v>
      </c>
      <c r="L9" s="527">
        <v>0</v>
      </c>
      <c r="M9" s="520" t="s">
        <v>219</v>
      </c>
      <c r="N9" s="527">
        <v>1.446</v>
      </c>
    </row>
    <row r="10" spans="2:14" ht="12.45" customHeight="1" x14ac:dyDescent="0.3">
      <c r="B10" s="595" t="s">
        <v>222</v>
      </c>
      <c r="C10" s="616">
        <f t="shared" si="3"/>
        <v>17.071999999999999</v>
      </c>
      <c r="D10" s="616">
        <f t="shared" si="4"/>
        <v>17.256</v>
      </c>
      <c r="E10" s="616">
        <f t="shared" si="5"/>
        <v>17.256</v>
      </c>
      <c r="F10" s="50">
        <f>IF(ROUND(D10,1)&gt;0,E10*100/D10,"-")</f>
        <v>100</v>
      </c>
      <c r="G10" s="47" t="s">
        <v>220</v>
      </c>
      <c r="I10" s="520" t="s">
        <v>220</v>
      </c>
      <c r="J10" s="527">
        <v>17.071999999999999</v>
      </c>
      <c r="K10" s="47" t="s">
        <v>220</v>
      </c>
      <c r="L10" s="527">
        <v>17.256</v>
      </c>
      <c r="M10" s="520" t="s">
        <v>220</v>
      </c>
      <c r="N10" s="527">
        <v>17.256</v>
      </c>
    </row>
    <row r="11" spans="2:14" ht="12.45" customHeight="1" x14ac:dyDescent="0.3">
      <c r="B11" s="595" t="s">
        <v>515</v>
      </c>
      <c r="C11" s="616">
        <f t="shared" si="3"/>
        <v>149.02799999999999</v>
      </c>
      <c r="D11" s="616">
        <f t="shared" si="4"/>
        <v>194.751</v>
      </c>
      <c r="E11" s="616">
        <f t="shared" si="5"/>
        <v>270.72899999999998</v>
      </c>
      <c r="F11" s="50">
        <f t="shared" si="2"/>
        <v>139.01289338694022</v>
      </c>
      <c r="G11" s="47" t="s">
        <v>227</v>
      </c>
      <c r="I11" s="520" t="s">
        <v>221</v>
      </c>
      <c r="J11" s="527">
        <v>-3.944</v>
      </c>
      <c r="K11" s="47" t="s">
        <v>221</v>
      </c>
      <c r="L11" s="527">
        <v>-2.5640000000000001</v>
      </c>
      <c r="M11" s="520" t="s">
        <v>221</v>
      </c>
      <c r="N11" s="527">
        <v>-1.508</v>
      </c>
    </row>
    <row r="12" spans="2:14" ht="12.45" customHeight="1" x14ac:dyDescent="0.3">
      <c r="B12" s="595" t="s">
        <v>516</v>
      </c>
      <c r="C12" s="616">
        <f t="shared" si="3"/>
        <v>0</v>
      </c>
      <c r="D12" s="616">
        <f t="shared" si="4"/>
        <v>50.287999999999997</v>
      </c>
      <c r="E12" s="616">
        <f t="shared" si="5"/>
        <v>64.716999999999999</v>
      </c>
      <c r="F12" s="50">
        <f t="shared" si="2"/>
        <v>128.69272987591472</v>
      </c>
      <c r="G12" s="47" t="s">
        <v>228</v>
      </c>
      <c r="I12" s="520" t="s">
        <v>223</v>
      </c>
      <c r="J12" s="527">
        <v>-3.944</v>
      </c>
      <c r="K12" s="47" t="s">
        <v>223</v>
      </c>
      <c r="L12" s="527">
        <v>-2.5640000000000001</v>
      </c>
      <c r="M12" s="520" t="s">
        <v>223</v>
      </c>
      <c r="N12" s="527">
        <v>-1.508</v>
      </c>
    </row>
    <row r="13" spans="2:14" ht="12.45" customHeight="1" x14ac:dyDescent="0.3">
      <c r="B13" s="595" t="s">
        <v>517</v>
      </c>
      <c r="C13" s="616">
        <f t="shared" si="3"/>
        <v>4.7910000000000004</v>
      </c>
      <c r="D13" s="616">
        <f t="shared" si="4"/>
        <v>-8.7279999999999998</v>
      </c>
      <c r="E13" s="616">
        <f t="shared" si="5"/>
        <v>-17.285</v>
      </c>
      <c r="F13" s="50" t="str">
        <f t="shared" si="2"/>
        <v>-</v>
      </c>
      <c r="G13" s="47" t="s">
        <v>231</v>
      </c>
      <c r="I13" s="520" t="s">
        <v>225</v>
      </c>
      <c r="J13" s="527">
        <v>0</v>
      </c>
      <c r="K13" s="47" t="s">
        <v>225</v>
      </c>
      <c r="L13" s="527">
        <v>-0.224</v>
      </c>
      <c r="M13" s="520" t="s">
        <v>225</v>
      </c>
      <c r="N13" s="527">
        <v>0</v>
      </c>
    </row>
    <row r="14" spans="2:14" ht="12.45" customHeight="1" x14ac:dyDescent="0.3">
      <c r="B14" s="595" t="s">
        <v>518</v>
      </c>
      <c r="C14" s="616">
        <f t="shared" si="3"/>
        <v>132.316</v>
      </c>
      <c r="D14" s="616">
        <f t="shared" si="4"/>
        <v>135.63800000000001</v>
      </c>
      <c r="E14" s="616">
        <f t="shared" si="5"/>
        <v>137.40299999999999</v>
      </c>
      <c r="F14" s="50">
        <f t="shared" si="2"/>
        <v>101.30125775962487</v>
      </c>
      <c r="G14" s="47" t="s">
        <v>232</v>
      </c>
      <c r="I14" s="520" t="s">
        <v>226</v>
      </c>
      <c r="J14" s="527">
        <v>149.02799999999999</v>
      </c>
      <c r="K14" s="47" t="s">
        <v>226</v>
      </c>
      <c r="L14" s="527">
        <v>245.03899999999999</v>
      </c>
      <c r="M14" s="520" t="s">
        <v>226</v>
      </c>
      <c r="N14" s="527">
        <v>335.44600000000003</v>
      </c>
    </row>
    <row r="15" spans="2:14" ht="12.45" customHeight="1" x14ac:dyDescent="0.3">
      <c r="B15" s="592" t="s">
        <v>519</v>
      </c>
      <c r="C15" s="618">
        <f>C7-C8</f>
        <v>-37.130000000000109</v>
      </c>
      <c r="D15" s="618">
        <f t="shared" ref="D15:E15" si="6">D7-D8</f>
        <v>-45.189999999999827</v>
      </c>
      <c r="E15" s="618">
        <f t="shared" si="6"/>
        <v>-44.445999999999913</v>
      </c>
      <c r="F15" s="101" t="str">
        <f t="shared" si="2"/>
        <v>-</v>
      </c>
      <c r="G15"/>
      <c r="I15" s="520" t="s">
        <v>227</v>
      </c>
      <c r="J15" s="527">
        <v>149.02799999999999</v>
      </c>
      <c r="K15" s="47" t="s">
        <v>227</v>
      </c>
      <c r="L15" s="527">
        <v>194.751</v>
      </c>
      <c r="M15" s="520" t="s">
        <v>227</v>
      </c>
      <c r="N15" s="527">
        <v>270.72899999999998</v>
      </c>
    </row>
    <row r="16" spans="2:14" ht="12.45" customHeight="1" x14ac:dyDescent="0.3">
      <c r="B16" s="595" t="s">
        <v>526</v>
      </c>
      <c r="C16" s="616">
        <f>IFERROR(VLOOKUP($G16,I$4:J$41,2,FALSE),0)</f>
        <v>-28.22</v>
      </c>
      <c r="D16" s="616">
        <f>IFERROR(VLOOKUP($G16,K$4:L$41,2,FALSE),0)</f>
        <v>-24.821000000000002</v>
      </c>
      <c r="E16" s="616">
        <f>IFERROR(VLOOKUP($G16,M$4:N$41,2,FALSE),0)</f>
        <v>-24.536000000000001</v>
      </c>
      <c r="F16" s="50" t="str">
        <f t="shared" si="2"/>
        <v>-</v>
      </c>
      <c r="G16" s="47" t="s">
        <v>233</v>
      </c>
      <c r="I16" s="520" t="s">
        <v>228</v>
      </c>
      <c r="J16" s="527">
        <v>0</v>
      </c>
      <c r="K16" s="47" t="s">
        <v>228</v>
      </c>
      <c r="L16" s="527">
        <v>50.287999999999997</v>
      </c>
      <c r="M16" s="520" t="s">
        <v>228</v>
      </c>
      <c r="N16" s="527">
        <v>64.716999999999999</v>
      </c>
    </row>
    <row r="17" spans="2:14" ht="12.45" customHeight="1" x14ac:dyDescent="0.3">
      <c r="B17" s="596" t="s">
        <v>520</v>
      </c>
      <c r="C17" s="616">
        <f>IFERROR(VLOOKUP($G17,I$4:J$42,2,FALSE),0)+IFERROR(VLOOKUP($H17,I$4:J$42,2,FALSE),0)</f>
        <v>-4.9659999999999993</v>
      </c>
      <c r="D17" s="616">
        <f>IFERROR(VLOOKUP($G17,K$4:L$42,2,FALSE),0)+IFERROR(VLOOKUP($H17,K$4:L$42,2,FALSE),0)</f>
        <v>-6.5750000000000002</v>
      </c>
      <c r="E17" s="616">
        <f>IFERROR(VLOOKUP($G17,M$4:N$42,2,FALSE),0)+IFERROR(VLOOKUP($H17,M$4:N$42,2,FALSE),0)</f>
        <v>-7.3960000000000008</v>
      </c>
      <c r="F17" s="50" t="str">
        <f t="shared" si="2"/>
        <v>-</v>
      </c>
      <c r="G17" s="47" t="s">
        <v>236</v>
      </c>
      <c r="H17" s="47" t="s">
        <v>238</v>
      </c>
      <c r="I17" s="520" t="s">
        <v>229</v>
      </c>
      <c r="J17" s="527">
        <v>0.23</v>
      </c>
      <c r="K17" s="47" t="s">
        <v>229</v>
      </c>
      <c r="L17" s="527">
        <v>51.970999999999997</v>
      </c>
      <c r="M17" s="520" t="s">
        <v>229</v>
      </c>
      <c r="N17" s="527">
        <v>66.784999999999997</v>
      </c>
    </row>
    <row r="18" spans="2:14" ht="12.45" customHeight="1" x14ac:dyDescent="0.3">
      <c r="B18" s="596" t="s">
        <v>521</v>
      </c>
      <c r="C18" s="616">
        <f>C15-(C16+C17)</f>
        <v>-3.9440000000001092</v>
      </c>
      <c r="D18" s="616">
        <f>D15-(D16+D17)</f>
        <v>-13.793999999999826</v>
      </c>
      <c r="E18" s="616">
        <f>E15-(E16+E17)</f>
        <v>-12.513999999999911</v>
      </c>
      <c r="F18" s="50" t="str">
        <f>IF(ROUND(D18,1)&gt;0,E18*100/D18,"-")</f>
        <v>-</v>
      </c>
      <c r="I18" s="520" t="s">
        <v>230</v>
      </c>
      <c r="J18" s="527">
        <v>-0.23</v>
      </c>
      <c r="K18" s="47" t="s">
        <v>230</v>
      </c>
      <c r="L18" s="527">
        <v>-1.6830000000000001</v>
      </c>
      <c r="M18" s="520" t="s">
        <v>230</v>
      </c>
      <c r="N18" s="527">
        <v>-2.0680000000000001</v>
      </c>
    </row>
    <row r="19" spans="2:14" ht="12.45" customHeight="1" x14ac:dyDescent="0.3">
      <c r="B19" s="593" t="s">
        <v>243</v>
      </c>
      <c r="C19" s="614">
        <f>IFERROR(VLOOKUP($G19,I$4:J$41,2,FALSE),0)</f>
        <v>6</v>
      </c>
      <c r="D19" s="614">
        <f>IFERROR(VLOOKUP($G19,K$4:L$41,2,FALSE),0)</f>
        <v>6</v>
      </c>
      <c r="E19" s="614">
        <f>IFERROR(VLOOKUP($G19,K$4:L$41,2,FALSE),0)</f>
        <v>6</v>
      </c>
      <c r="F19" s="625">
        <f t="shared" ref="F19:F25" si="7">IF(ROUND(D19,1)&gt;0,E19*100/D19,"-")</f>
        <v>100</v>
      </c>
      <c r="G19" s="47" t="s">
        <v>240</v>
      </c>
      <c r="I19" s="520" t="s">
        <v>231</v>
      </c>
      <c r="J19" s="527">
        <v>4.7910000000000004</v>
      </c>
      <c r="K19" s="47" t="s">
        <v>231</v>
      </c>
      <c r="L19" s="527">
        <v>-8.7279999999999998</v>
      </c>
      <c r="M19" s="520" t="s">
        <v>231</v>
      </c>
      <c r="N19" s="527">
        <v>-17.285</v>
      </c>
    </row>
    <row r="20" spans="2:14" ht="12.45" customHeight="1" x14ac:dyDescent="0.3">
      <c r="B20" s="594" t="s">
        <v>522</v>
      </c>
      <c r="C20" s="617">
        <f>IFERROR(VLOOKUP($G20,I$4:J$41,2,FALSE),0)</f>
        <v>6</v>
      </c>
      <c r="D20" s="617">
        <f>IFERROR(VLOOKUP($G20,K$4:L$41,2,FALSE),0)</f>
        <v>6</v>
      </c>
      <c r="E20" s="617">
        <f>IFERROR(VLOOKUP($G20,M$4:N$41,2,FALSE),0)</f>
        <v>6</v>
      </c>
      <c r="F20" s="50">
        <f t="shared" si="7"/>
        <v>100</v>
      </c>
      <c r="G20" s="47" t="s">
        <v>241</v>
      </c>
      <c r="I20" s="520" t="s">
        <v>232</v>
      </c>
      <c r="J20" s="527">
        <v>132.316</v>
      </c>
      <c r="K20" s="47" t="s">
        <v>232</v>
      </c>
      <c r="L20" s="527">
        <v>135.63800000000001</v>
      </c>
      <c r="M20" s="520" t="s">
        <v>232</v>
      </c>
      <c r="N20" s="527">
        <v>137.40299999999999</v>
      </c>
    </row>
    <row r="21" spans="2:14" ht="12.45" customHeight="1" x14ac:dyDescent="0.3">
      <c r="B21" s="594" t="s">
        <v>523</v>
      </c>
      <c r="C21" s="617">
        <f>C19-C20</f>
        <v>0</v>
      </c>
      <c r="D21" s="617">
        <f t="shared" ref="D21:E21" si="8">D19-D20</f>
        <v>0</v>
      </c>
      <c r="E21" s="617">
        <f t="shared" si="8"/>
        <v>0</v>
      </c>
      <c r="F21" s="50" t="str">
        <f t="shared" si="7"/>
        <v>-</v>
      </c>
      <c r="G21"/>
      <c r="I21" s="520" t="s">
        <v>233</v>
      </c>
      <c r="J21" s="527">
        <v>-28.22</v>
      </c>
      <c r="K21" s="47" t="s">
        <v>233</v>
      </c>
      <c r="L21" s="527">
        <v>-24.821000000000002</v>
      </c>
      <c r="M21" s="520" t="s">
        <v>233</v>
      </c>
      <c r="N21" s="527">
        <v>-24.536000000000001</v>
      </c>
    </row>
    <row r="22" spans="2:14" ht="12.45" customHeight="1" x14ac:dyDescent="0.3">
      <c r="B22" s="602" t="s">
        <v>248</v>
      </c>
      <c r="C22" s="624">
        <f>IFERROR(VLOOKUP($G22,I$4:J$41,2,FALSE),0)</f>
        <v>43.795000000000002</v>
      </c>
      <c r="D22" s="624">
        <f>IFERROR(VLOOKUP($G22,K$4:L$41,2,FALSE),0)</f>
        <v>45.917999999999999</v>
      </c>
      <c r="E22" s="624">
        <f>IFERROR(VLOOKUP($G22,M$4:N$41,2,FALSE),0)</f>
        <v>58.287999999999997</v>
      </c>
      <c r="F22" s="610">
        <f t="shared" si="7"/>
        <v>126.93932662572411</v>
      </c>
      <c r="G22" s="47" t="s">
        <v>246</v>
      </c>
      <c r="I22" s="520" t="s">
        <v>235</v>
      </c>
      <c r="J22" s="527">
        <v>-28.22</v>
      </c>
      <c r="K22" s="47" t="s">
        <v>235</v>
      </c>
      <c r="L22" s="527">
        <v>-24.821000000000002</v>
      </c>
      <c r="M22" s="520" t="s">
        <v>235</v>
      </c>
      <c r="N22" s="527">
        <v>-24.536000000000001</v>
      </c>
    </row>
    <row r="23" spans="2:14" ht="12.45" customHeight="1" x14ac:dyDescent="0.3">
      <c r="B23" s="595" t="s">
        <v>524</v>
      </c>
      <c r="C23" s="616">
        <f>IFERROR(VLOOKUP($G23,I$4:J$41,2,FALSE),0)</f>
        <v>43.795000000000002</v>
      </c>
      <c r="D23" s="616">
        <f>IFERROR(VLOOKUP($G23,K$4:L$41,2,FALSE),0)</f>
        <v>45.917999999999999</v>
      </c>
      <c r="E23" s="616">
        <f>IFERROR(VLOOKUP($G23,M$4:N$41,2,FALSE),0)</f>
        <v>58.287999999999997</v>
      </c>
      <c r="F23" s="50">
        <f t="shared" si="7"/>
        <v>126.93932662572411</v>
      </c>
      <c r="G23" s="47" t="s">
        <v>247</v>
      </c>
      <c r="I23" s="520" t="s">
        <v>236</v>
      </c>
      <c r="J23" s="527">
        <v>-2.2959999999999998</v>
      </c>
      <c r="K23" s="47" t="s">
        <v>236</v>
      </c>
      <c r="L23" s="527">
        <v>-2.99</v>
      </c>
      <c r="M23" s="520" t="s">
        <v>236</v>
      </c>
      <c r="N23" s="527">
        <v>-3.45</v>
      </c>
    </row>
    <row r="24" spans="2:14" ht="12.45" customHeight="1" x14ac:dyDescent="0.3">
      <c r="B24" s="595" t="s">
        <v>529</v>
      </c>
      <c r="C24" s="616">
        <f>IFERROR(VLOOKUP($G24,I$4:J$41,2,FALSE),0)</f>
        <v>0</v>
      </c>
      <c r="D24" s="616">
        <f>IFERROR(VLOOKUP($G24,K$4:L$41,2,FALSE),0)</f>
        <v>0</v>
      </c>
      <c r="E24" s="616">
        <f>IFERROR(VLOOKUP($G24,M$4:N$41,2,FALSE),0)</f>
        <v>0</v>
      </c>
      <c r="F24" s="50" t="str">
        <f>IF(ROUND(D24,1)&gt;0,E24*100/D24,"-")</f>
        <v>-</v>
      </c>
      <c r="G24" s="47" t="s">
        <v>250</v>
      </c>
      <c r="I24" s="520" t="s">
        <v>237</v>
      </c>
      <c r="J24" s="527">
        <v>0</v>
      </c>
      <c r="K24" s="47" t="s">
        <v>237</v>
      </c>
      <c r="L24" s="527">
        <v>0</v>
      </c>
      <c r="M24" s="520" t="s">
        <v>237</v>
      </c>
      <c r="N24" s="527">
        <v>0</v>
      </c>
    </row>
    <row r="25" spans="2:14" ht="12.45" customHeight="1" thickBot="1" x14ac:dyDescent="0.35">
      <c r="B25" s="607" t="s">
        <v>525</v>
      </c>
      <c r="C25" s="619">
        <f>IFERROR(VLOOKUP($G25,I$4:J$41,2,FALSE),0)+IFERROR(VLOOKUP($H25,I$4:J$41,2,FALSE),0)</f>
        <v>0</v>
      </c>
      <c r="D25" s="619">
        <f>IFERROR(VLOOKUP($G25,K$4:L$41,2,FALSE),0)+IFERROR(VLOOKUP($H25,K$4:L$41,2,FALSE),0)</f>
        <v>0</v>
      </c>
      <c r="E25" s="619">
        <f>IFERROR(VLOOKUP($G25,M$4:N$41,2,FALSE),0)+IFERROR(VLOOKUP($H25,M$4:N$41,2,FALSE),0)</f>
        <v>0</v>
      </c>
      <c r="F25" s="626" t="str">
        <f t="shared" si="7"/>
        <v>-</v>
      </c>
      <c r="G25" s="47" t="s">
        <v>251</v>
      </c>
      <c r="H25" s="47" t="s">
        <v>252</v>
      </c>
      <c r="I25" s="520" t="s">
        <v>238</v>
      </c>
      <c r="J25" s="527">
        <v>-2.67</v>
      </c>
      <c r="K25" s="47" t="s">
        <v>238</v>
      </c>
      <c r="L25" s="527">
        <v>-3.585</v>
      </c>
      <c r="M25" s="520" t="s">
        <v>238</v>
      </c>
      <c r="N25" s="527">
        <v>-3.9460000000000002</v>
      </c>
    </row>
    <row r="26" spans="2:14" ht="24.75" customHeight="1" x14ac:dyDescent="0.3">
      <c r="G26" s="623" t="s">
        <v>531</v>
      </c>
      <c r="H26" s="623" t="s">
        <v>530</v>
      </c>
      <c r="I26" s="520" t="s">
        <v>239</v>
      </c>
      <c r="J26" s="527">
        <v>0</v>
      </c>
      <c r="K26" s="47" t="s">
        <v>239</v>
      </c>
      <c r="L26" s="527">
        <v>-11.007</v>
      </c>
      <c r="M26" s="520" t="s">
        <v>239</v>
      </c>
      <c r="N26" s="527">
        <v>-11.007</v>
      </c>
    </row>
    <row r="27" spans="2:14" x14ac:dyDescent="0.3">
      <c r="I27" s="520" t="s">
        <v>240</v>
      </c>
      <c r="J27" s="527">
        <v>6</v>
      </c>
      <c r="K27" s="47" t="s">
        <v>240</v>
      </c>
      <c r="L27" s="527">
        <v>6</v>
      </c>
      <c r="M27" s="520" t="s">
        <v>240</v>
      </c>
      <c r="N27" s="527">
        <v>6</v>
      </c>
    </row>
    <row r="28" spans="2:14" x14ac:dyDescent="0.3">
      <c r="G28"/>
      <c r="I28" s="520" t="s">
        <v>241</v>
      </c>
      <c r="J28" s="527">
        <v>6</v>
      </c>
      <c r="K28" s="517" t="s">
        <v>241</v>
      </c>
      <c r="L28" s="527">
        <v>6</v>
      </c>
      <c r="M28" s="521" t="s">
        <v>241</v>
      </c>
      <c r="N28" s="527">
        <v>6</v>
      </c>
    </row>
    <row r="29" spans="2:14" x14ac:dyDescent="0.3">
      <c r="G29"/>
      <c r="I29" s="520" t="s">
        <v>242</v>
      </c>
      <c r="J29" s="527">
        <v>6</v>
      </c>
      <c r="K29" s="517" t="s">
        <v>242</v>
      </c>
      <c r="L29" s="527">
        <v>6</v>
      </c>
      <c r="M29" s="521" t="s">
        <v>242</v>
      </c>
      <c r="N29" s="527">
        <v>6</v>
      </c>
    </row>
    <row r="30" spans="2:14" x14ac:dyDescent="0.3">
      <c r="I30" s="520" t="s">
        <v>244</v>
      </c>
      <c r="J30" s="527">
        <v>0</v>
      </c>
      <c r="K30" s="47" t="s">
        <v>244</v>
      </c>
      <c r="L30" s="527">
        <v>0</v>
      </c>
      <c r="M30" s="520" t="s">
        <v>244</v>
      </c>
      <c r="N30" s="527">
        <v>0</v>
      </c>
    </row>
    <row r="31" spans="2:14" x14ac:dyDescent="0.3">
      <c r="I31" s="520" t="s">
        <v>245</v>
      </c>
      <c r="J31" s="527">
        <v>0</v>
      </c>
      <c r="K31" s="47" t="s">
        <v>245</v>
      </c>
      <c r="L31" s="527">
        <v>0</v>
      </c>
      <c r="M31" s="520" t="s">
        <v>245</v>
      </c>
      <c r="N31" s="527">
        <v>0</v>
      </c>
    </row>
    <row r="32" spans="2:14" ht="15" customHeight="1" x14ac:dyDescent="0.3">
      <c r="I32" s="520" t="s">
        <v>246</v>
      </c>
      <c r="J32" s="527">
        <v>43.795000000000002</v>
      </c>
      <c r="K32" s="47" t="s">
        <v>246</v>
      </c>
      <c r="L32" s="527">
        <v>45.917999999999999</v>
      </c>
      <c r="M32" s="520" t="s">
        <v>246</v>
      </c>
      <c r="N32" s="527">
        <v>58.287999999999997</v>
      </c>
    </row>
    <row r="33" spans="1:14" ht="15" customHeight="1" x14ac:dyDescent="0.3">
      <c r="G33"/>
      <c r="I33" s="520" t="s">
        <v>247</v>
      </c>
      <c r="J33" s="527">
        <v>43.795000000000002</v>
      </c>
      <c r="K33" s="47" t="s">
        <v>247</v>
      </c>
      <c r="L33" s="527">
        <v>45.917999999999999</v>
      </c>
      <c r="M33" s="520" t="s">
        <v>247</v>
      </c>
      <c r="N33" s="527">
        <v>58.287999999999997</v>
      </c>
    </row>
    <row r="34" spans="1:14" ht="15" customHeight="1" x14ac:dyDescent="0.3">
      <c r="G34"/>
      <c r="I34" s="520" t="s">
        <v>249</v>
      </c>
      <c r="J34" s="527">
        <v>43.795000000000002</v>
      </c>
      <c r="K34" s="47" t="s">
        <v>249</v>
      </c>
      <c r="L34" s="527">
        <v>45.917999999999999</v>
      </c>
      <c r="M34" s="520" t="s">
        <v>249</v>
      </c>
      <c r="N34" s="527">
        <v>58.287999999999997</v>
      </c>
    </row>
    <row r="35" spans="1:14" ht="15" customHeight="1" x14ac:dyDescent="0.3">
      <c r="G35"/>
      <c r="I35" s="520" t="s">
        <v>250</v>
      </c>
      <c r="J35" s="527">
        <v>0</v>
      </c>
      <c r="K35" s="47" t="s">
        <v>250</v>
      </c>
      <c r="L35" s="527">
        <v>0</v>
      </c>
      <c r="M35" s="520" t="s">
        <v>250</v>
      </c>
      <c r="N35" s="527">
        <v>0</v>
      </c>
    </row>
    <row r="36" spans="1:14" ht="15" customHeight="1" x14ac:dyDescent="0.3">
      <c r="G36"/>
      <c r="I36" s="520" t="s">
        <v>251</v>
      </c>
      <c r="J36" s="527">
        <v>0</v>
      </c>
      <c r="K36" s="47" t="s">
        <v>251</v>
      </c>
      <c r="L36" s="527">
        <v>0</v>
      </c>
      <c r="M36" s="520" t="s">
        <v>251</v>
      </c>
      <c r="N36" s="527">
        <v>0</v>
      </c>
    </row>
    <row r="37" spans="1:14" ht="15" customHeight="1" x14ac:dyDescent="0.3">
      <c r="G37"/>
      <c r="I37" s="520" t="s">
        <v>252</v>
      </c>
      <c r="J37" s="527">
        <v>0</v>
      </c>
      <c r="K37" s="47" t="s">
        <v>252</v>
      </c>
      <c r="L37" s="527">
        <v>0</v>
      </c>
      <c r="M37" s="520" t="s">
        <v>252</v>
      </c>
      <c r="N37" s="527">
        <v>0</v>
      </c>
    </row>
    <row r="38" spans="1:14" ht="15" customHeight="1" x14ac:dyDescent="0.3">
      <c r="G38"/>
      <c r="I38" s="520"/>
      <c r="J38" s="527"/>
      <c r="L38" s="527"/>
      <c r="M38" s="520"/>
      <c r="N38" s="527"/>
    </row>
    <row r="39" spans="1:14" ht="15" customHeight="1" x14ac:dyDescent="0.3">
      <c r="G39"/>
      <c r="I39" s="520"/>
      <c r="J39" s="527"/>
      <c r="L39" s="527"/>
      <c r="M39" s="520"/>
      <c r="N39" s="527"/>
    </row>
    <row r="40" spans="1:14" ht="15" customHeight="1" x14ac:dyDescent="0.3">
      <c r="G40"/>
      <c r="I40" s="520"/>
      <c r="J40" s="527"/>
      <c r="L40" s="527"/>
      <c r="M40" s="520"/>
      <c r="N40" s="527"/>
    </row>
    <row r="41" spans="1:14" ht="15" customHeight="1" x14ac:dyDescent="0.3">
      <c r="I41" s="522"/>
      <c r="J41" s="528"/>
      <c r="K41" s="522"/>
      <c r="L41" s="528"/>
      <c r="M41" s="522"/>
      <c r="N41" s="528"/>
    </row>
    <row r="42" spans="1:14" ht="15" hidden="1" customHeight="1" x14ac:dyDescent="0.3">
      <c r="J42" s="518"/>
      <c r="L42" s="518"/>
      <c r="N42" s="518"/>
    </row>
    <row r="43" spans="1:14" ht="14.4" hidden="1" customHeight="1" x14ac:dyDescent="0.3">
      <c r="A43" s="48" t="s">
        <v>5</v>
      </c>
      <c r="B43" s="48"/>
      <c r="C43" s="48"/>
      <c r="D43" s="48"/>
      <c r="E43" s="48"/>
      <c r="F43" s="278" t="s">
        <v>315</v>
      </c>
      <c r="J43" s="518"/>
      <c r="L43" s="518"/>
      <c r="N43" s="518"/>
    </row>
    <row r="44" spans="1:14" ht="14.4" hidden="1" customHeight="1" x14ac:dyDescent="0.3">
      <c r="A44" s="831" t="s">
        <v>10</v>
      </c>
      <c r="B44" s="832"/>
      <c r="C44" s="523" t="str">
        <f>LEFT(I3,4)</f>
        <v>2021</v>
      </c>
      <c r="D44" s="524" t="str">
        <f>LEFT(K3,4)</f>
        <v>2022</v>
      </c>
      <c r="E44" s="524" t="str">
        <f>LEFT(M3,4)</f>
        <v>2023</v>
      </c>
      <c r="F44" s="240" t="s">
        <v>9</v>
      </c>
      <c r="J44" s="518"/>
      <c r="L44" s="518"/>
      <c r="N44" s="518"/>
    </row>
    <row r="45" spans="1:14" ht="22.2" hidden="1" customHeight="1" x14ac:dyDescent="0.3">
      <c r="A45" s="241" t="s">
        <v>4</v>
      </c>
      <c r="B45" s="242" t="s">
        <v>32</v>
      </c>
      <c r="C45" s="519">
        <f t="shared" ref="C45:C67" si="9">IFERROR(VLOOKUP($G45,I$4:J$41,2,FALSE),0)</f>
        <v>1005.833</v>
      </c>
      <c r="D45" s="244">
        <f t="shared" ref="D45:D67" si="10">IFERROR(VLOOKUP($G45,K$4:L$41,2,FALSE),0)</f>
        <v>1089.299</v>
      </c>
      <c r="E45" s="244">
        <f t="shared" ref="E45:E67" si="11">IFERROR(VLOOKUP($G45,M$4:N$41,2,FALSE),0)</f>
        <v>1188.3019999999999</v>
      </c>
      <c r="F45" s="245">
        <f t="shared" ref="F45:F54" si="12">IF(D45&gt;0,E45*100/D45,"-")</f>
        <v>109.08868914779137</v>
      </c>
      <c r="G45" s="47" t="s">
        <v>214</v>
      </c>
      <c r="J45" s="518"/>
      <c r="L45" s="518"/>
      <c r="N45" s="518"/>
    </row>
    <row r="46" spans="1:14" ht="17.25" hidden="1" customHeight="1" x14ac:dyDescent="0.3">
      <c r="A46" s="246" t="s">
        <v>33</v>
      </c>
      <c r="B46" s="247" t="s">
        <v>34</v>
      </c>
      <c r="C46" s="248">
        <f t="shared" si="9"/>
        <v>962.03800000000001</v>
      </c>
      <c r="D46" s="249">
        <f t="shared" si="10"/>
        <v>1043.3800000000001</v>
      </c>
      <c r="E46" s="249">
        <f t="shared" si="11"/>
        <v>1130.0150000000001</v>
      </c>
      <c r="F46" s="250">
        <f t="shared" si="12"/>
        <v>108.30330272767353</v>
      </c>
      <c r="G46" s="47" t="s">
        <v>215</v>
      </c>
      <c r="J46" s="518"/>
      <c r="L46" s="518"/>
      <c r="N46" s="518"/>
    </row>
    <row r="47" spans="1:14" ht="27" hidden="1" customHeight="1" x14ac:dyDescent="0.3">
      <c r="A47" s="241" t="s">
        <v>70</v>
      </c>
      <c r="B47" s="242" t="s">
        <v>66</v>
      </c>
      <c r="C47" s="243">
        <f t="shared" si="9"/>
        <v>956.03800000000001</v>
      </c>
      <c r="D47" s="244">
        <f t="shared" si="10"/>
        <v>1037.3800000000001</v>
      </c>
      <c r="E47" s="244">
        <f t="shared" si="11"/>
        <v>1124.0150000000001</v>
      </c>
      <c r="F47" s="245">
        <f t="shared" si="12"/>
        <v>108.35132738244424</v>
      </c>
      <c r="G47" s="47" t="s">
        <v>216</v>
      </c>
      <c r="J47" s="518"/>
      <c r="L47" s="518"/>
      <c r="N47" s="518"/>
    </row>
    <row r="48" spans="1:14" ht="14.4" hidden="1" customHeight="1" x14ac:dyDescent="0.3">
      <c r="A48" s="251" t="s">
        <v>35</v>
      </c>
      <c r="B48" s="252" t="s">
        <v>36</v>
      </c>
      <c r="C48" s="253">
        <f t="shared" si="9"/>
        <v>689.96100000000001</v>
      </c>
      <c r="D48" s="254">
        <f t="shared" si="10"/>
        <v>693.36500000000001</v>
      </c>
      <c r="E48" s="254">
        <f t="shared" si="11"/>
        <v>695.64099999999996</v>
      </c>
      <c r="F48" s="255">
        <f>IF(D48&gt;0,E48*100/D48,"-")</f>
        <v>100.32825423838814</v>
      </c>
      <c r="G48" s="47" t="s">
        <v>218</v>
      </c>
      <c r="J48" s="518"/>
      <c r="L48" s="518"/>
      <c r="N48" s="518"/>
    </row>
    <row r="49" spans="1:14" ht="14.4" hidden="1" customHeight="1" x14ac:dyDescent="0.3">
      <c r="A49" s="251" t="s">
        <v>37</v>
      </c>
      <c r="B49" s="252" t="s">
        <v>38</v>
      </c>
      <c r="C49" s="253">
        <f t="shared" si="9"/>
        <v>17.071999999999999</v>
      </c>
      <c r="D49" s="254">
        <f t="shared" si="10"/>
        <v>17.256</v>
      </c>
      <c r="E49" s="254">
        <f t="shared" si="11"/>
        <v>17.256</v>
      </c>
      <c r="F49" s="255">
        <f t="shared" si="12"/>
        <v>100</v>
      </c>
      <c r="G49" s="47" t="s">
        <v>220</v>
      </c>
      <c r="J49" s="518"/>
      <c r="L49" s="518"/>
      <c r="N49" s="518"/>
    </row>
    <row r="50" spans="1:14" ht="25.5" hidden="1" customHeight="1" x14ac:dyDescent="0.3">
      <c r="A50" s="251" t="s">
        <v>39</v>
      </c>
      <c r="B50" s="252" t="s">
        <v>224</v>
      </c>
      <c r="C50" s="253">
        <f t="shared" si="9"/>
        <v>-3.944</v>
      </c>
      <c r="D50" s="254">
        <f t="shared" si="10"/>
        <v>-2.5640000000000001</v>
      </c>
      <c r="E50" s="254">
        <f t="shared" si="11"/>
        <v>-1.508</v>
      </c>
      <c r="F50" s="245" t="str">
        <f t="shared" si="12"/>
        <v>-</v>
      </c>
      <c r="G50" s="47" t="s">
        <v>223</v>
      </c>
      <c r="J50" s="518"/>
      <c r="L50" s="518"/>
      <c r="N50" s="518"/>
    </row>
    <row r="51" spans="1:14" ht="14.4" hidden="1" customHeight="1" x14ac:dyDescent="0.3">
      <c r="A51" s="251" t="s">
        <v>41</v>
      </c>
      <c r="B51" s="252" t="s">
        <v>40</v>
      </c>
      <c r="C51" s="253">
        <f t="shared" si="9"/>
        <v>149.02799999999999</v>
      </c>
      <c r="D51" s="254">
        <f t="shared" si="10"/>
        <v>194.751</v>
      </c>
      <c r="E51" s="254">
        <f t="shared" si="11"/>
        <v>270.72899999999998</v>
      </c>
      <c r="F51" s="255">
        <f t="shared" si="12"/>
        <v>139.01289338694022</v>
      </c>
      <c r="G51" s="47" t="s">
        <v>227</v>
      </c>
      <c r="J51" s="518"/>
      <c r="L51" s="518"/>
      <c r="N51" s="518"/>
    </row>
    <row r="52" spans="1:14" ht="14.4" hidden="1" customHeight="1" x14ac:dyDescent="0.3">
      <c r="A52" s="251" t="s">
        <v>43</v>
      </c>
      <c r="B52" s="252" t="s">
        <v>42</v>
      </c>
      <c r="C52" s="253">
        <f t="shared" si="9"/>
        <v>0</v>
      </c>
      <c r="D52" s="254">
        <f t="shared" si="10"/>
        <v>50.287999999999997</v>
      </c>
      <c r="E52" s="254">
        <f t="shared" si="11"/>
        <v>64.716999999999999</v>
      </c>
      <c r="F52" s="255">
        <f t="shared" si="12"/>
        <v>128.69272987591472</v>
      </c>
      <c r="G52" s="47" t="s">
        <v>228</v>
      </c>
      <c r="J52" s="518"/>
      <c r="L52" s="518"/>
      <c r="N52" s="518"/>
    </row>
    <row r="53" spans="1:14" ht="14.4" hidden="1" customHeight="1" x14ac:dyDescent="0.3">
      <c r="A53" s="251" t="s">
        <v>45</v>
      </c>
      <c r="B53" s="252" t="s">
        <v>44</v>
      </c>
      <c r="C53" s="253">
        <f t="shared" si="9"/>
        <v>4.7910000000000004</v>
      </c>
      <c r="D53" s="254">
        <f t="shared" si="10"/>
        <v>-8.7279999999999998</v>
      </c>
      <c r="E53" s="254">
        <f t="shared" si="11"/>
        <v>-17.285</v>
      </c>
      <c r="F53" s="255" t="str">
        <f t="shared" si="12"/>
        <v>-</v>
      </c>
      <c r="G53" s="47" t="s">
        <v>231</v>
      </c>
      <c r="J53" s="518"/>
      <c r="L53" s="518"/>
      <c r="N53" s="518"/>
    </row>
    <row r="54" spans="1:14" ht="14.4" hidden="1" customHeight="1" x14ac:dyDescent="0.3">
      <c r="A54" s="251" t="s">
        <v>47</v>
      </c>
      <c r="B54" s="252" t="s">
        <v>46</v>
      </c>
      <c r="C54" s="253">
        <f t="shared" si="9"/>
        <v>132.316</v>
      </c>
      <c r="D54" s="254">
        <f t="shared" si="10"/>
        <v>135.63800000000001</v>
      </c>
      <c r="E54" s="254">
        <f t="shared" si="11"/>
        <v>137.40299999999999</v>
      </c>
      <c r="F54" s="255">
        <f t="shared" si="12"/>
        <v>101.30125775962487</v>
      </c>
      <c r="G54" s="47" t="s">
        <v>232</v>
      </c>
      <c r="J54" s="518"/>
      <c r="L54" s="518"/>
      <c r="N54" s="518"/>
    </row>
    <row r="55" spans="1:14" ht="14.4" hidden="1" customHeight="1" x14ac:dyDescent="0.3">
      <c r="A55" s="251" t="s">
        <v>48</v>
      </c>
      <c r="B55" s="252" t="s">
        <v>67</v>
      </c>
      <c r="C55" s="253">
        <f t="shared" si="9"/>
        <v>-28.22</v>
      </c>
      <c r="D55" s="254">
        <f t="shared" si="10"/>
        <v>-24.821000000000002</v>
      </c>
      <c r="E55" s="254">
        <f t="shared" si="11"/>
        <v>-24.536000000000001</v>
      </c>
      <c r="F55" s="255">
        <f>IF(D55&lt;&gt;0,E55*100/D55,"-")</f>
        <v>98.85177873574797</v>
      </c>
      <c r="G55" s="47" t="s">
        <v>233</v>
      </c>
      <c r="J55" s="518"/>
      <c r="L55" s="518"/>
      <c r="N55" s="518"/>
    </row>
    <row r="56" spans="1:14" ht="36" hidden="1" customHeight="1" x14ac:dyDescent="0.3">
      <c r="A56" s="251" t="s">
        <v>49</v>
      </c>
      <c r="B56" s="252" t="s">
        <v>141</v>
      </c>
      <c r="C56" s="253">
        <f t="shared" si="9"/>
        <v>-2.2959999999999998</v>
      </c>
      <c r="D56" s="254">
        <f t="shared" si="10"/>
        <v>-2.99</v>
      </c>
      <c r="E56" s="254">
        <f t="shared" si="11"/>
        <v>-3.45</v>
      </c>
      <c r="F56" s="255">
        <f>IF(D56&lt;&gt;0,E56*100/D56,"-")</f>
        <v>115.38461538461537</v>
      </c>
      <c r="G56" s="47" t="s">
        <v>236</v>
      </c>
    </row>
    <row r="57" spans="1:14" ht="24" hidden="1" customHeight="1" x14ac:dyDescent="0.3">
      <c r="A57" s="251" t="s">
        <v>140</v>
      </c>
      <c r="B57" s="252" t="s">
        <v>50</v>
      </c>
      <c r="C57" s="253">
        <f t="shared" si="9"/>
        <v>0</v>
      </c>
      <c r="D57" s="254">
        <f t="shared" si="10"/>
        <v>0</v>
      </c>
      <c r="E57" s="254">
        <f t="shared" si="11"/>
        <v>0</v>
      </c>
      <c r="F57" s="255" t="str">
        <f>IF(D57&gt;0,E57*100/D57,"-")</f>
        <v>-</v>
      </c>
      <c r="G57" s="47" t="s">
        <v>237</v>
      </c>
    </row>
    <row r="58" spans="1:14" ht="24" hidden="1" customHeight="1" x14ac:dyDescent="0.3">
      <c r="A58" s="251" t="s">
        <v>234</v>
      </c>
      <c r="B58" s="252" t="s">
        <v>142</v>
      </c>
      <c r="C58" s="253">
        <f t="shared" si="9"/>
        <v>-2.67</v>
      </c>
      <c r="D58" s="254">
        <f t="shared" si="10"/>
        <v>-3.585</v>
      </c>
      <c r="E58" s="254">
        <f t="shared" si="11"/>
        <v>-3.9460000000000002</v>
      </c>
      <c r="F58" s="255">
        <f>IF(D58&lt;&gt;0,E58*100/D58,"-")</f>
        <v>110.0697350069735</v>
      </c>
      <c r="G58" s="47" t="s">
        <v>238</v>
      </c>
    </row>
    <row r="59" spans="1:14" ht="14.4" hidden="1" customHeight="1" x14ac:dyDescent="0.3">
      <c r="A59" s="241" t="s">
        <v>71</v>
      </c>
      <c r="B59" s="242" t="s">
        <v>68</v>
      </c>
      <c r="C59" s="243">
        <f t="shared" si="9"/>
        <v>6</v>
      </c>
      <c r="D59" s="244">
        <f t="shared" si="10"/>
        <v>6</v>
      </c>
      <c r="E59" s="244">
        <f t="shared" si="11"/>
        <v>6</v>
      </c>
      <c r="F59" s="245">
        <f t="shared" ref="F59:F67" si="13">IF(D59&gt;0,E59*100/D59,"-")</f>
        <v>100</v>
      </c>
      <c r="G59" s="47" t="s">
        <v>240</v>
      </c>
    </row>
    <row r="60" spans="1:14" ht="24" hidden="1" customHeight="1" x14ac:dyDescent="0.3">
      <c r="A60" s="251" t="s">
        <v>51</v>
      </c>
      <c r="B60" s="252" t="s">
        <v>52</v>
      </c>
      <c r="C60" s="253">
        <f t="shared" si="9"/>
        <v>6</v>
      </c>
      <c r="D60" s="254">
        <f t="shared" si="10"/>
        <v>6</v>
      </c>
      <c r="E60" s="254">
        <f t="shared" si="11"/>
        <v>6</v>
      </c>
      <c r="F60" s="255">
        <f t="shared" si="13"/>
        <v>100</v>
      </c>
      <c r="G60" s="47" t="s">
        <v>241</v>
      </c>
    </row>
    <row r="61" spans="1:14" ht="24" hidden="1" customHeight="1" x14ac:dyDescent="0.3">
      <c r="A61" s="251" t="s">
        <v>53</v>
      </c>
      <c r="B61" s="252" t="s">
        <v>54</v>
      </c>
      <c r="C61" s="253">
        <f t="shared" si="9"/>
        <v>0</v>
      </c>
      <c r="D61" s="254">
        <f t="shared" si="10"/>
        <v>0</v>
      </c>
      <c r="E61" s="254">
        <f t="shared" si="11"/>
        <v>0</v>
      </c>
      <c r="F61" s="255" t="str">
        <f t="shared" si="13"/>
        <v>-</v>
      </c>
      <c r="G61" s="47" t="s">
        <v>244</v>
      </c>
    </row>
    <row r="62" spans="1:14" ht="36" hidden="1" customHeight="1" x14ac:dyDescent="0.3">
      <c r="A62" s="256" t="s">
        <v>55</v>
      </c>
      <c r="B62" s="257" t="s">
        <v>56</v>
      </c>
      <c r="C62" s="258">
        <f t="shared" si="9"/>
        <v>0</v>
      </c>
      <c r="D62" s="259">
        <f t="shared" si="10"/>
        <v>0</v>
      </c>
      <c r="E62" s="259">
        <f t="shared" si="11"/>
        <v>0</v>
      </c>
      <c r="F62" s="255" t="str">
        <f>IF(D62&gt;0,E62*100/D62,"-")</f>
        <v>-</v>
      </c>
      <c r="G62" s="47" t="s">
        <v>245</v>
      </c>
    </row>
    <row r="63" spans="1:14" ht="14.4" hidden="1" customHeight="1" x14ac:dyDescent="0.3">
      <c r="A63" s="241" t="s">
        <v>57</v>
      </c>
      <c r="B63" s="242" t="s">
        <v>69</v>
      </c>
      <c r="C63" s="243">
        <f t="shared" si="9"/>
        <v>43.795000000000002</v>
      </c>
      <c r="D63" s="244">
        <f t="shared" si="10"/>
        <v>45.917999999999999</v>
      </c>
      <c r="E63" s="244">
        <f t="shared" si="11"/>
        <v>58.287999999999997</v>
      </c>
      <c r="F63" s="245">
        <f t="shared" si="13"/>
        <v>126.93932662572411</v>
      </c>
      <c r="G63" s="47" t="s">
        <v>246</v>
      </c>
    </row>
    <row r="64" spans="1:14" ht="24" hidden="1" customHeight="1" x14ac:dyDescent="0.3">
      <c r="A64" s="251" t="s">
        <v>58</v>
      </c>
      <c r="B64" s="252" t="s">
        <v>59</v>
      </c>
      <c r="C64" s="253">
        <f t="shared" si="9"/>
        <v>43.795000000000002</v>
      </c>
      <c r="D64" s="254">
        <f t="shared" si="10"/>
        <v>45.917999999999999</v>
      </c>
      <c r="E64" s="254">
        <f t="shared" si="11"/>
        <v>58.287999999999997</v>
      </c>
      <c r="F64" s="255">
        <f t="shared" si="13"/>
        <v>126.93932662572411</v>
      </c>
      <c r="G64" s="47" t="s">
        <v>247</v>
      </c>
    </row>
    <row r="65" spans="1:7" ht="24" hidden="1" customHeight="1" x14ac:dyDescent="0.3">
      <c r="A65" s="251" t="s">
        <v>60</v>
      </c>
      <c r="B65" s="252" t="s">
        <v>61</v>
      </c>
      <c r="C65" s="253">
        <f t="shared" si="9"/>
        <v>0</v>
      </c>
      <c r="D65" s="254">
        <f t="shared" si="10"/>
        <v>0</v>
      </c>
      <c r="E65" s="254">
        <f t="shared" si="11"/>
        <v>0</v>
      </c>
      <c r="F65" s="255" t="str">
        <f t="shared" si="13"/>
        <v>-</v>
      </c>
      <c r="G65" s="47" t="s">
        <v>250</v>
      </c>
    </row>
    <row r="66" spans="1:7" ht="24" hidden="1" customHeight="1" x14ac:dyDescent="0.3">
      <c r="A66" s="251" t="s">
        <v>62</v>
      </c>
      <c r="B66" s="252" t="s">
        <v>63</v>
      </c>
      <c r="C66" s="253">
        <f t="shared" si="9"/>
        <v>0</v>
      </c>
      <c r="D66" s="254">
        <f t="shared" si="10"/>
        <v>0</v>
      </c>
      <c r="E66" s="254">
        <f t="shared" si="11"/>
        <v>0</v>
      </c>
      <c r="F66" s="255" t="str">
        <f t="shared" si="13"/>
        <v>-</v>
      </c>
      <c r="G66" s="47" t="s">
        <v>251</v>
      </c>
    </row>
    <row r="67" spans="1:7" ht="24.6" hidden="1" customHeight="1" thickBot="1" x14ac:dyDescent="0.35">
      <c r="A67" s="260" t="s">
        <v>64</v>
      </c>
      <c r="B67" s="261" t="s">
        <v>65</v>
      </c>
      <c r="C67" s="262">
        <f t="shared" si="9"/>
        <v>0</v>
      </c>
      <c r="D67" s="263">
        <f t="shared" si="10"/>
        <v>0</v>
      </c>
      <c r="E67" s="263">
        <f t="shared" si="11"/>
        <v>0</v>
      </c>
      <c r="F67" s="264" t="str">
        <f t="shared" si="13"/>
        <v>-</v>
      </c>
      <c r="G67" s="47" t="s">
        <v>252</v>
      </c>
    </row>
  </sheetData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8" type="noConversion"/>
  <pageMargins left="0.7" right="0.7" top="0.75" bottom="0.75" header="0.3" footer="0.3"/>
  <pageSetup paperSize="9" scale="79" orientation="portrait" verticalDpi="0" r:id="rId3"/>
  <ignoredErrors>
    <ignoredError sqref="C8:C15 F57:F58 D8:E14 C16 D15:E15 C20:E20 E16 D19 C21:E21" formula="1"/>
    <ignoredError sqref="G5:G14 G45:G67 G16:G17 G19:G25 H17 H25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12"/>
  <sheetViews>
    <sheetView showGridLines="0" tabSelected="1" topLeftCell="B1" zoomScaleNormal="100" workbookViewId="0">
      <selection activeCell="C8" sqref="C8"/>
    </sheetView>
  </sheetViews>
  <sheetFormatPr defaultColWidth="8.6640625" defaultRowHeight="14.4" x14ac:dyDescent="0.3"/>
  <cols>
    <col min="1" max="1" width="5.33203125" hidden="1" customWidth="1"/>
    <col min="2" max="2" width="37.44140625" customWidth="1"/>
    <col min="3" max="6" width="12.5546875" customWidth="1"/>
    <col min="9" max="9" width="10.109375" bestFit="1" customWidth="1"/>
    <col min="10" max="10" width="11.33203125" customWidth="1"/>
  </cols>
  <sheetData>
    <row r="1" spans="2:6" x14ac:dyDescent="0.3">
      <c r="F1" s="467"/>
    </row>
    <row r="2" spans="2:6" x14ac:dyDescent="0.3">
      <c r="B2" s="48" t="s">
        <v>564</v>
      </c>
      <c r="C2" s="49"/>
      <c r="D2" s="49"/>
      <c r="E2" s="49"/>
      <c r="F2" s="49"/>
    </row>
    <row r="3" spans="2:6" ht="36" x14ac:dyDescent="0.3">
      <c r="B3" s="659" t="s">
        <v>151</v>
      </c>
      <c r="C3" s="169" t="s">
        <v>535</v>
      </c>
      <c r="D3" s="169" t="s">
        <v>313</v>
      </c>
      <c r="E3" s="169" t="s">
        <v>314</v>
      </c>
      <c r="F3" s="169" t="s">
        <v>13</v>
      </c>
    </row>
    <row r="4" spans="2:6" x14ac:dyDescent="0.3">
      <c r="B4" s="654" t="s">
        <v>589</v>
      </c>
      <c r="C4" s="655"/>
      <c r="D4" s="655"/>
      <c r="E4" s="655"/>
      <c r="F4" s="655"/>
    </row>
    <row r="5" spans="2:6" x14ac:dyDescent="0.3">
      <c r="B5" s="649" t="s">
        <v>568</v>
      </c>
      <c r="C5" s="650">
        <v>127</v>
      </c>
      <c r="D5" s="650">
        <v>153</v>
      </c>
      <c r="E5" s="50">
        <v>5898</v>
      </c>
      <c r="F5" s="50">
        <v>402</v>
      </c>
    </row>
    <row r="6" spans="2:6" ht="24" x14ac:dyDescent="0.3">
      <c r="B6" s="651" t="s">
        <v>567</v>
      </c>
      <c r="C6" s="50">
        <v>28</v>
      </c>
      <c r="D6" s="50">
        <v>22</v>
      </c>
      <c r="E6" s="50">
        <v>4100</v>
      </c>
      <c r="F6" s="50">
        <v>121</v>
      </c>
    </row>
    <row r="7" spans="2:6" ht="14.1" customHeight="1" thickBot="1" x14ac:dyDescent="0.35">
      <c r="B7" s="658" t="s">
        <v>16</v>
      </c>
      <c r="C7" s="653">
        <f>C5+C6</f>
        <v>155</v>
      </c>
      <c r="D7" s="653">
        <f>D5+D6</f>
        <v>175</v>
      </c>
      <c r="E7" s="653">
        <f t="shared" ref="E7:F7" si="0">E5+E6</f>
        <v>9998</v>
      </c>
      <c r="F7" s="653">
        <f t="shared" si="0"/>
        <v>523</v>
      </c>
    </row>
    <row r="8" spans="2:6" ht="14.1" customHeight="1" x14ac:dyDescent="0.3">
      <c r="B8" s="656" t="s">
        <v>587</v>
      </c>
      <c r="C8" s="657"/>
      <c r="D8" s="657"/>
      <c r="E8" s="657"/>
      <c r="F8" s="657"/>
    </row>
    <row r="9" spans="2:6" ht="14.1" customHeight="1" x14ac:dyDescent="0.3">
      <c r="B9" s="649" t="s">
        <v>568</v>
      </c>
      <c r="C9" s="650">
        <v>170</v>
      </c>
      <c r="D9" s="650">
        <v>107</v>
      </c>
      <c r="E9" s="50">
        <v>6334</v>
      </c>
      <c r="F9" s="50">
        <v>424</v>
      </c>
    </row>
    <row r="10" spans="2:6" ht="24" x14ac:dyDescent="0.3">
      <c r="B10" s="651" t="s">
        <v>567</v>
      </c>
      <c r="C10" s="50">
        <v>29</v>
      </c>
      <c r="D10" s="50">
        <v>21</v>
      </c>
      <c r="E10" s="50">
        <v>4075</v>
      </c>
      <c r="F10" s="50">
        <v>127</v>
      </c>
    </row>
    <row r="11" spans="2:6" ht="14.1" customHeight="1" thickBot="1" x14ac:dyDescent="0.35">
      <c r="B11" s="652" t="s">
        <v>16</v>
      </c>
      <c r="C11" s="653">
        <f>C9+C10</f>
        <v>199</v>
      </c>
      <c r="D11" s="653">
        <f>D9+D10</f>
        <v>128</v>
      </c>
      <c r="E11" s="653">
        <f t="shared" ref="E11:F11" si="1">E9+E10</f>
        <v>10409</v>
      </c>
      <c r="F11" s="653">
        <f t="shared" si="1"/>
        <v>551</v>
      </c>
    </row>
    <row r="12" spans="2:6" ht="14.1" customHeight="1" x14ac:dyDescent="0.3"/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5.88671875" customWidth="1"/>
    <col min="2" max="5" width="11.5546875" customWidth="1"/>
  </cols>
  <sheetData>
    <row r="1" spans="1:5" hidden="1" x14ac:dyDescent="0.3">
      <c r="B1" s="36"/>
      <c r="C1" s="36"/>
      <c r="D1" s="36"/>
    </row>
    <row r="2" spans="1:5" x14ac:dyDescent="0.3">
      <c r="A2" s="265"/>
    </row>
    <row r="3" spans="1:5" x14ac:dyDescent="0.3">
      <c r="A3" s="48" t="s">
        <v>271</v>
      </c>
      <c r="B3" s="48"/>
      <c r="C3" s="48"/>
      <c r="D3" s="48"/>
      <c r="E3" s="278" t="s">
        <v>315</v>
      </c>
    </row>
    <row r="4" spans="1:5" x14ac:dyDescent="0.3">
      <c r="A4" s="197" t="s">
        <v>10</v>
      </c>
      <c r="B4" s="266" t="s">
        <v>561</v>
      </c>
      <c r="C4" s="267" t="s">
        <v>562</v>
      </c>
      <c r="D4" s="267" t="s">
        <v>588</v>
      </c>
      <c r="E4" s="240" t="s">
        <v>9</v>
      </c>
    </row>
    <row r="5" spans="1:5" ht="14.1" customHeight="1" x14ac:dyDescent="0.3">
      <c r="A5" s="268" t="s">
        <v>72</v>
      </c>
      <c r="B5" s="269">
        <f>SUM(B6:B8)</f>
        <v>5252.7370000000001</v>
      </c>
      <c r="C5" s="270">
        <f>SUM(C6:C8)</f>
        <v>5382.6179999999995</v>
      </c>
      <c r="D5" s="270">
        <f>SUM(D6:D8)</f>
        <v>5668.1660000000002</v>
      </c>
      <c r="E5" s="271">
        <f>IF(C5&gt;0,D5*100/C5,"-")</f>
        <v>105.30500213836464</v>
      </c>
    </row>
    <row r="6" spans="1:5" ht="14.1" customHeight="1" x14ac:dyDescent="0.3">
      <c r="A6" s="272" t="s">
        <v>383</v>
      </c>
      <c r="B6" s="170">
        <v>4737.9930000000004</v>
      </c>
      <c r="C6" s="273">
        <v>4850.4049999999997</v>
      </c>
      <c r="D6" s="273">
        <v>5088.4570000000003</v>
      </c>
      <c r="E6" s="168">
        <f t="shared" ref="E6:E8" si="0">IF(C6&gt;0,D6*100/C6,"-")</f>
        <v>104.90787882661346</v>
      </c>
    </row>
    <row r="7" spans="1:5" ht="14.1" customHeight="1" x14ac:dyDescent="0.3">
      <c r="A7" s="272" t="s">
        <v>384</v>
      </c>
      <c r="B7" s="170">
        <v>70.058000000000007</v>
      </c>
      <c r="C7" s="273">
        <v>54.847000000000001</v>
      </c>
      <c r="D7" s="273">
        <v>31.38</v>
      </c>
      <c r="E7" s="168">
        <f t="shared" si="0"/>
        <v>57.213703575400658</v>
      </c>
    </row>
    <row r="8" spans="1:5" ht="14.1" customHeight="1" thickBot="1" x14ac:dyDescent="0.35">
      <c r="A8" s="274" t="s">
        <v>385</v>
      </c>
      <c r="B8" s="275">
        <v>444.68599999999998</v>
      </c>
      <c r="C8" s="276">
        <v>477.36599999999999</v>
      </c>
      <c r="D8" s="276">
        <v>548.32899999999995</v>
      </c>
      <c r="E8" s="277">
        <f t="shared" si="0"/>
        <v>114.86553294537104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3"/>
  <sheetViews>
    <sheetView showGridLines="0" topLeftCell="B1" zoomScaleNormal="100" workbookViewId="0">
      <selection activeCell="B2" sqref="B2:C2"/>
    </sheetView>
  </sheetViews>
  <sheetFormatPr defaultRowHeight="14.4" x14ac:dyDescent="0.3"/>
  <cols>
    <col min="1" max="1" width="4.88671875" hidden="1" customWidth="1"/>
    <col min="2" max="2" width="42" customWidth="1"/>
    <col min="3" max="5" width="10.5546875" customWidth="1"/>
    <col min="6" max="6" width="13.44140625" customWidth="1"/>
  </cols>
  <sheetData>
    <row r="1" spans="2:6" x14ac:dyDescent="0.3">
      <c r="B1" s="25"/>
      <c r="C1" s="25"/>
    </row>
    <row r="2" spans="2:6" ht="15" customHeight="1" x14ac:dyDescent="0.3">
      <c r="B2" s="787" t="s">
        <v>272</v>
      </c>
      <c r="C2" s="835"/>
      <c r="D2" s="48"/>
      <c r="E2" s="185"/>
      <c r="F2" s="278" t="s">
        <v>315</v>
      </c>
    </row>
    <row r="3" spans="2:6" ht="15" customHeight="1" x14ac:dyDescent="0.3">
      <c r="B3" s="197" t="s">
        <v>10</v>
      </c>
      <c r="C3" s="279" t="s">
        <v>561</v>
      </c>
      <c r="D3" s="280" t="s">
        <v>562</v>
      </c>
      <c r="E3" s="280" t="s">
        <v>588</v>
      </c>
      <c r="F3" s="648" t="s">
        <v>9</v>
      </c>
    </row>
    <row r="4" spans="2:6" ht="14.1" customHeight="1" x14ac:dyDescent="0.3">
      <c r="B4" s="281" t="s">
        <v>72</v>
      </c>
      <c r="C4" s="282">
        <f>'Tab 27'!B5</f>
        <v>5252.7370000000001</v>
      </c>
      <c r="D4" s="283">
        <f>'Tab 27'!C5</f>
        <v>5382.6179999999995</v>
      </c>
      <c r="E4" s="283">
        <f>'Tab 27'!D5</f>
        <v>5668.1660000000002</v>
      </c>
      <c r="F4" s="284">
        <f>IF(D4&gt;0,E4*100/D4,"-")</f>
        <v>105.30500213836464</v>
      </c>
    </row>
    <row r="5" spans="2:6" ht="14.1" customHeight="1" x14ac:dyDescent="0.3">
      <c r="B5" s="272" t="s">
        <v>73</v>
      </c>
      <c r="C5" s="170">
        <v>1005.833</v>
      </c>
      <c r="D5" s="273">
        <v>1089.299</v>
      </c>
      <c r="E5" s="273">
        <v>1188.3019999999999</v>
      </c>
      <c r="F5" s="168">
        <f t="shared" ref="F5:F13" si="0">IF(D5&gt;0,E5*100/D5,"-")</f>
        <v>109.08868914779137</v>
      </c>
    </row>
    <row r="6" spans="2:6" ht="14.1" customHeight="1" x14ac:dyDescent="0.3">
      <c r="B6" s="272" t="s">
        <v>74</v>
      </c>
      <c r="C6" s="170">
        <f>C5-ROUND(0.12*C$4,0)</f>
        <v>375.83299999999997</v>
      </c>
      <c r="D6" s="273">
        <f>D5-ROUND(0.12*D$4,0)</f>
        <v>443.29899999999998</v>
      </c>
      <c r="E6" s="273">
        <f>E5-ROUND(0.12*E$4,0)</f>
        <v>508.30199999999991</v>
      </c>
      <c r="F6" s="168">
        <f t="shared" si="0"/>
        <v>114.66346641882791</v>
      </c>
    </row>
    <row r="7" spans="2:6" ht="14.1" customHeight="1" x14ac:dyDescent="0.3">
      <c r="B7" s="285" t="s">
        <v>79</v>
      </c>
      <c r="C7" s="286">
        <f>IF(C$4&lt;&gt;0,ROUND(C5/C$4,4),0)</f>
        <v>0.1915</v>
      </c>
      <c r="D7" s="287">
        <f>IF(D$4&lt;&gt;0,ROUND(D5/D$4,4),0)</f>
        <v>0.2024</v>
      </c>
      <c r="E7" s="287">
        <f>IF(E$4&lt;&gt;0,ROUND(E5/E$4,4),0)</f>
        <v>0.20960000000000001</v>
      </c>
      <c r="F7" s="288">
        <f t="shared" si="0"/>
        <v>103.55731225296444</v>
      </c>
    </row>
    <row r="8" spans="2:6" ht="14.1" customHeight="1" x14ac:dyDescent="0.3">
      <c r="B8" s="272" t="s">
        <v>75</v>
      </c>
      <c r="C8" s="170">
        <v>962.03800000000001</v>
      </c>
      <c r="D8" s="273">
        <v>1043.3800000000001</v>
      </c>
      <c r="E8" s="273">
        <v>1130.0150000000001</v>
      </c>
      <c r="F8" s="168">
        <f t="shared" si="0"/>
        <v>108.30330272767353</v>
      </c>
    </row>
    <row r="9" spans="2:6" ht="14.1" customHeight="1" x14ac:dyDescent="0.3">
      <c r="B9" s="272" t="s">
        <v>76</v>
      </c>
      <c r="C9" s="170">
        <f>C8-ROUND(0.09*C$4,0)</f>
        <v>489.03800000000001</v>
      </c>
      <c r="D9" s="273">
        <f>D8-ROUND(0.09*D$4,0)</f>
        <v>559.38000000000011</v>
      </c>
      <c r="E9" s="273">
        <f>E8-ROUND(0.09*E$4,0)</f>
        <v>620.0150000000001</v>
      </c>
      <c r="F9" s="168">
        <f t="shared" si="0"/>
        <v>110.8396796453216</v>
      </c>
    </row>
    <row r="10" spans="2:6" ht="14.1" customHeight="1" x14ac:dyDescent="0.3">
      <c r="B10" s="285" t="s">
        <v>80</v>
      </c>
      <c r="C10" s="286">
        <f>IF(C$4&lt;&gt;0,ROUND(C8/C$4,4),0)</f>
        <v>0.18310000000000001</v>
      </c>
      <c r="D10" s="287">
        <f>IF(D$4&lt;&gt;0,ROUND(D8/D$4,4),0)</f>
        <v>0.1938</v>
      </c>
      <c r="E10" s="287">
        <f>IF(E$4&lt;&gt;0,ROUND(E8/E$4,4),0)</f>
        <v>0.19939999999999999</v>
      </c>
      <c r="F10" s="288">
        <f t="shared" si="0"/>
        <v>102.88957688338492</v>
      </c>
    </row>
    <row r="11" spans="2:6" ht="14.1" customHeight="1" x14ac:dyDescent="0.3">
      <c r="B11" s="272" t="s">
        <v>77</v>
      </c>
      <c r="C11" s="170">
        <v>956.03800000000001</v>
      </c>
      <c r="D11" s="273">
        <v>1037.3800000000001</v>
      </c>
      <c r="E11" s="273">
        <v>1124.0150000000001</v>
      </c>
      <c r="F11" s="168">
        <f t="shared" si="0"/>
        <v>108.35132738244424</v>
      </c>
    </row>
    <row r="12" spans="2:6" ht="14.1" customHeight="1" x14ac:dyDescent="0.3">
      <c r="B12" s="272" t="s">
        <v>78</v>
      </c>
      <c r="C12" s="170">
        <f>C11-ROUND(0.0675*C$4,0)</f>
        <v>601.03800000000001</v>
      </c>
      <c r="D12" s="273">
        <f>D11-ROUND(0.0675*D$4,0)</f>
        <v>674.38000000000011</v>
      </c>
      <c r="E12" s="273">
        <f>E11-ROUND(0.0675*E$4,0)</f>
        <v>741.0150000000001</v>
      </c>
      <c r="F12" s="168">
        <f t="shared" si="0"/>
        <v>109.88092766689404</v>
      </c>
    </row>
    <row r="13" spans="2:6" ht="14.1" customHeight="1" thickBot="1" x14ac:dyDescent="0.35">
      <c r="B13" s="289" t="s">
        <v>81</v>
      </c>
      <c r="C13" s="290">
        <f>IF(C$4&lt;&gt;0,ROUND(C11/C$4,4),0)</f>
        <v>0.182</v>
      </c>
      <c r="D13" s="291">
        <f>IF(D$4&lt;&gt;0,ROUND(D11/D$4,4),0)</f>
        <v>0.19270000000000001</v>
      </c>
      <c r="E13" s="291">
        <f>IF(E$4&lt;&gt;0,ROUND(E11/E$4,4),0)</f>
        <v>0.1983</v>
      </c>
      <c r="F13" s="292">
        <f t="shared" si="0"/>
        <v>102.90607161390763</v>
      </c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45.5546875" customWidth="1"/>
    <col min="2" max="4" width="9.5546875" customWidth="1"/>
    <col min="5" max="5" width="14" customWidth="1"/>
  </cols>
  <sheetData>
    <row r="1" spans="1:5" hidden="1" x14ac:dyDescent="0.3"/>
    <row r="3" spans="1:5" x14ac:dyDescent="0.3">
      <c r="A3" s="48" t="s">
        <v>273</v>
      </c>
      <c r="B3" s="48"/>
      <c r="C3" s="48"/>
      <c r="D3" s="48"/>
      <c r="E3" s="278" t="s">
        <v>315</v>
      </c>
    </row>
    <row r="4" spans="1:5" x14ac:dyDescent="0.3">
      <c r="A4" s="65" t="s">
        <v>10</v>
      </c>
      <c r="B4" s="191" t="s">
        <v>561</v>
      </c>
      <c r="C4" s="192" t="s">
        <v>562</v>
      </c>
      <c r="D4" s="192" t="s">
        <v>588</v>
      </c>
      <c r="E4" s="648" t="s">
        <v>9</v>
      </c>
    </row>
    <row r="5" spans="1:5" ht="14.1" customHeight="1" x14ac:dyDescent="0.3">
      <c r="A5" s="55" t="s">
        <v>83</v>
      </c>
      <c r="B5" s="100">
        <f>SUM(B6:B9)</f>
        <v>425.10699999999997</v>
      </c>
      <c r="C5" s="119">
        <f t="shared" ref="C5:D5" si="0">SUM(C6:C9)</f>
        <v>440.18</v>
      </c>
      <c r="D5" s="119">
        <f t="shared" si="0"/>
        <v>474.58100000000007</v>
      </c>
      <c r="E5" s="50">
        <f>IF(C5&lt;&gt;0,D5/C5*100,"-")</f>
        <v>107.81521195874417</v>
      </c>
    </row>
    <row r="6" spans="1:5" ht="14.1" customHeight="1" x14ac:dyDescent="0.3">
      <c r="A6" s="12" t="s">
        <v>84</v>
      </c>
      <c r="B6" s="108">
        <v>12.554</v>
      </c>
      <c r="C6" s="71">
        <v>12.837999999999999</v>
      </c>
      <c r="D6" s="71">
        <v>13.288</v>
      </c>
      <c r="E6" s="50">
        <f>IF(C6&lt;&gt;0,D6/C6*100,"-")</f>
        <v>103.50521888144573</v>
      </c>
    </row>
    <row r="7" spans="1:5" ht="14.1" customHeight="1" x14ac:dyDescent="0.3">
      <c r="A7" s="12" t="s">
        <v>86</v>
      </c>
      <c r="B7" s="108">
        <v>116.95699999999999</v>
      </c>
      <c r="C7" s="71">
        <v>138.01400000000001</v>
      </c>
      <c r="D7" s="71">
        <v>151.59200000000001</v>
      </c>
      <c r="E7" s="50">
        <f t="shared" ref="E7:E13" si="1">IF(C7&lt;&gt;0,D7/C7*100,"-")</f>
        <v>109.83813236338342</v>
      </c>
    </row>
    <row r="8" spans="1:5" ht="14.1" customHeight="1" x14ac:dyDescent="0.3">
      <c r="A8" s="12" t="s">
        <v>87</v>
      </c>
      <c r="B8" s="108">
        <v>290.649</v>
      </c>
      <c r="C8" s="71">
        <v>285.05700000000002</v>
      </c>
      <c r="D8" s="71">
        <v>308.55500000000001</v>
      </c>
      <c r="E8" s="50">
        <f t="shared" si="1"/>
        <v>108.24326362797616</v>
      </c>
    </row>
    <row r="9" spans="1:5" ht="14.1" customHeight="1" x14ac:dyDescent="0.3">
      <c r="A9" s="12" t="s">
        <v>88</v>
      </c>
      <c r="B9" s="108">
        <v>4.9470000000000001</v>
      </c>
      <c r="C9" s="71">
        <v>4.2709999999999999</v>
      </c>
      <c r="D9" s="71">
        <v>1.1459999999999999</v>
      </c>
      <c r="E9" s="50">
        <f t="shared" si="1"/>
        <v>26.83212362444392</v>
      </c>
    </row>
    <row r="10" spans="1:5" ht="14.1" customHeight="1" x14ac:dyDescent="0.3">
      <c r="A10" s="12" t="s">
        <v>85</v>
      </c>
      <c r="B10" s="100">
        <v>9551.2530000000006</v>
      </c>
      <c r="C10" s="119">
        <v>9757.1550000000007</v>
      </c>
      <c r="D10" s="119">
        <v>10030.576999999999</v>
      </c>
      <c r="E10" s="50">
        <f t="shared" si="1"/>
        <v>102.80227176876863</v>
      </c>
    </row>
    <row r="11" spans="1:5" ht="14.1" customHeight="1" x14ac:dyDescent="0.3">
      <c r="A11" s="12" t="s">
        <v>89</v>
      </c>
      <c r="B11" s="108">
        <v>-33.186999999999998</v>
      </c>
      <c r="C11" s="71">
        <v>-42.402000000000001</v>
      </c>
      <c r="D11" s="71">
        <v>-42.938000000000002</v>
      </c>
      <c r="E11" s="50">
        <f t="shared" si="1"/>
        <v>101.26409131644733</v>
      </c>
    </row>
    <row r="12" spans="1:5" ht="14.1" customHeight="1" x14ac:dyDescent="0.3">
      <c r="A12" s="12" t="s">
        <v>90</v>
      </c>
      <c r="B12" s="100">
        <v>9943.1730000000007</v>
      </c>
      <c r="C12" s="119">
        <v>10154.933000000001</v>
      </c>
      <c r="D12" s="119">
        <v>10462.218999999999</v>
      </c>
      <c r="E12" s="101">
        <f t="shared" si="1"/>
        <v>103.02597762092569</v>
      </c>
    </row>
    <row r="13" spans="1:5" ht="14.1" customHeight="1" x14ac:dyDescent="0.3">
      <c r="A13" s="12" t="s">
        <v>91</v>
      </c>
      <c r="B13" s="108">
        <v>962.03800000000001</v>
      </c>
      <c r="C13" s="71">
        <v>1043.3800000000001</v>
      </c>
      <c r="D13" s="71">
        <v>1130.0150000000001</v>
      </c>
      <c r="E13" s="50">
        <f t="shared" si="1"/>
        <v>108.30330272767353</v>
      </c>
    </row>
    <row r="14" spans="1:5" ht="14.1" customHeight="1" thickBot="1" x14ac:dyDescent="0.35">
      <c r="A14" s="84" t="s">
        <v>92</v>
      </c>
      <c r="B14" s="293">
        <f>IF(B12&lt;&gt;0,B13/B12,0)</f>
        <v>9.6753621806640586E-2</v>
      </c>
      <c r="C14" s="294">
        <f t="shared" ref="C14:D14" si="2">IF(C12&lt;&gt;0,C13/C12,0)</f>
        <v>0.10274612348500971</v>
      </c>
      <c r="D14" s="294">
        <f t="shared" si="2"/>
        <v>0.10800911355420874</v>
      </c>
      <c r="E14" s="86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pageMargins left="0.7" right="0.7" top="0.75" bottom="0.75" header="0.3" footer="0.3"/>
  <pageSetup orientation="portrait" verticalDpi="0" r:id="rId1"/>
  <ignoredErrors>
    <ignoredError sqref="A6:A9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H6"/>
  <sheetViews>
    <sheetView showGridLines="0" zoomScaleNormal="100" workbookViewId="0">
      <selection activeCell="A2" sqref="A2"/>
    </sheetView>
  </sheetViews>
  <sheetFormatPr defaultRowHeight="14.4" x14ac:dyDescent="0.3"/>
  <cols>
    <col min="1" max="1" width="39.44140625" customWidth="1"/>
    <col min="2" max="5" width="9.109375" customWidth="1"/>
  </cols>
  <sheetData>
    <row r="1" spans="1:8" x14ac:dyDescent="0.3">
      <c r="A1" s="92"/>
    </row>
    <row r="2" spans="1:8" x14ac:dyDescent="0.3">
      <c r="A2" s="124" t="s">
        <v>395</v>
      </c>
      <c r="B2" s="124"/>
      <c r="C2" s="124"/>
      <c r="D2" s="124"/>
      <c r="E2" s="51"/>
      <c r="F2" s="51"/>
      <c r="G2" s="51"/>
      <c r="H2" s="51" t="s">
        <v>315</v>
      </c>
    </row>
    <row r="3" spans="1:8" x14ac:dyDescent="0.3">
      <c r="A3" s="74" t="s">
        <v>10</v>
      </c>
      <c r="B3" s="719" t="s">
        <v>562</v>
      </c>
      <c r="C3" s="719" t="s">
        <v>563</v>
      </c>
      <c r="D3" s="719" t="s">
        <v>582</v>
      </c>
      <c r="E3" s="719" t="s">
        <v>595</v>
      </c>
      <c r="F3" s="719" t="s">
        <v>588</v>
      </c>
      <c r="G3" s="719"/>
      <c r="H3" s="719"/>
    </row>
    <row r="4" spans="1:8" x14ac:dyDescent="0.3">
      <c r="A4" s="55" t="s">
        <v>93</v>
      </c>
      <c r="B4" s="8">
        <v>2531.3180000000002</v>
      </c>
      <c r="C4" s="8">
        <v>2246.587</v>
      </c>
      <c r="D4" s="8">
        <v>2242.4180000000001</v>
      </c>
      <c r="E4" s="8">
        <v>2359.8139999999999</v>
      </c>
      <c r="F4" s="8">
        <v>2354.5630000000001</v>
      </c>
      <c r="G4" s="8"/>
      <c r="H4" s="8"/>
    </row>
    <row r="5" spans="1:8" x14ac:dyDescent="0.3">
      <c r="A5" s="12" t="s">
        <v>111</v>
      </c>
      <c r="B5" s="8">
        <v>1144.0139999999999</v>
      </c>
      <c r="C5" s="8">
        <v>940.23299999999995</v>
      </c>
      <c r="D5" s="8">
        <v>991.21100000000001</v>
      </c>
      <c r="E5" s="8">
        <v>969.71500000000003</v>
      </c>
      <c r="F5" s="8">
        <v>997.12</v>
      </c>
      <c r="G5" s="8"/>
      <c r="H5" s="8"/>
    </row>
    <row r="6" spans="1:8" ht="15" thickBot="1" x14ac:dyDescent="0.35">
      <c r="A6" s="79" t="s">
        <v>94</v>
      </c>
      <c r="B6" s="718">
        <f>IF(B5&lt;&gt;0,B4*100/B5,"-")</f>
        <v>221.26634813909624</v>
      </c>
      <c r="C6" s="718">
        <f>IF(C5&lt;&gt;0,C4*100/C5,"-")</f>
        <v>238.93939055531982</v>
      </c>
      <c r="D6" s="718">
        <f t="shared" ref="D6:E6" si="0">IF(D5&lt;&gt;0,D4*100/D5,"-")</f>
        <v>226.23013667120321</v>
      </c>
      <c r="E6" s="718">
        <f t="shared" si="0"/>
        <v>243.35129393687833</v>
      </c>
      <c r="F6" s="718">
        <f t="shared" ref="F6:G6" si="1">IF(F5&lt;&gt;0,F4*100/F5,"-")</f>
        <v>236.1363727535302</v>
      </c>
      <c r="G6" s="718" t="str">
        <f t="shared" si="1"/>
        <v>-</v>
      </c>
      <c r="H6" s="718" t="str">
        <f t="shared" ref="H6" si="2">IF(H5&lt;&gt;0,H4*100/H5,"-")</f>
        <v>-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8338-B38A-4343-B58E-B567954BE577}">
  <sheetPr codeName="Sheet188"/>
  <dimension ref="A1:H6"/>
  <sheetViews>
    <sheetView showGridLines="0" zoomScaleNormal="100" workbookViewId="0">
      <selection activeCell="A2" sqref="A2"/>
    </sheetView>
  </sheetViews>
  <sheetFormatPr defaultRowHeight="14.4" x14ac:dyDescent="0.3"/>
  <cols>
    <col min="1" max="1" width="30.33203125" bestFit="1" customWidth="1"/>
    <col min="2" max="5" width="9.109375" customWidth="1"/>
  </cols>
  <sheetData>
    <row r="1" spans="1:8" x14ac:dyDescent="0.3">
      <c r="A1" s="92"/>
    </row>
    <row r="2" spans="1:8" x14ac:dyDescent="0.3">
      <c r="A2" s="124" t="s">
        <v>557</v>
      </c>
      <c r="B2" s="124"/>
      <c r="C2" s="124"/>
      <c r="D2" s="124"/>
      <c r="E2" s="51"/>
      <c r="F2" s="51"/>
      <c r="G2" s="51"/>
      <c r="H2" s="51" t="s">
        <v>315</v>
      </c>
    </row>
    <row r="3" spans="1:8" x14ac:dyDescent="0.3">
      <c r="A3" s="74" t="s">
        <v>10</v>
      </c>
      <c r="B3" s="719" t="s">
        <v>562</v>
      </c>
      <c r="C3" s="719" t="s">
        <v>563</v>
      </c>
      <c r="D3" s="719" t="s">
        <v>582</v>
      </c>
      <c r="E3" s="719" t="s">
        <v>595</v>
      </c>
      <c r="F3" s="719" t="s">
        <v>588</v>
      </c>
      <c r="G3" s="719"/>
      <c r="H3" s="719"/>
    </row>
    <row r="4" spans="1:8" x14ac:dyDescent="0.3">
      <c r="A4" s="55" t="s">
        <v>558</v>
      </c>
      <c r="B4" s="8">
        <v>7380.4120000000003</v>
      </c>
      <c r="C4" s="8">
        <v>7397.3680000000004</v>
      </c>
      <c r="D4" s="8">
        <v>7427.4089999999997</v>
      </c>
      <c r="E4" s="8">
        <v>7669.5510000000004</v>
      </c>
      <c r="F4" s="8">
        <v>7910.1559999999999</v>
      </c>
      <c r="G4" s="8"/>
      <c r="H4" s="8"/>
    </row>
    <row r="5" spans="1:8" x14ac:dyDescent="0.3">
      <c r="A5" s="12" t="s">
        <v>559</v>
      </c>
      <c r="B5" s="8">
        <v>4415.0789999999997</v>
      </c>
      <c r="C5" s="8">
        <v>4523.91</v>
      </c>
      <c r="D5" s="8">
        <v>4475.4790000000003</v>
      </c>
      <c r="E5" s="8">
        <v>4655.0919999999996</v>
      </c>
      <c r="F5" s="8">
        <v>4704.1639999999998</v>
      </c>
      <c r="G5" s="8"/>
      <c r="H5" s="8"/>
    </row>
    <row r="6" spans="1:8" ht="24.6" thickBot="1" x14ac:dyDescent="0.35">
      <c r="A6" s="79" t="s">
        <v>560</v>
      </c>
      <c r="B6" s="718">
        <f>IF(B5&lt;&gt;0,B4*100/B5,"-")</f>
        <v>167.16375856468255</v>
      </c>
      <c r="C6" s="718">
        <f>IF(C5&lt;&gt;0,C4*100/C5,"-")</f>
        <v>163.51713451417027</v>
      </c>
      <c r="D6" s="718">
        <f t="shared" ref="D6:H6" si="0">IF(D5&lt;&gt;0,D4*100/D5,"-")</f>
        <v>165.95785613115376</v>
      </c>
      <c r="E6" s="718">
        <f t="shared" si="0"/>
        <v>164.75616378795524</v>
      </c>
      <c r="F6" s="718">
        <f t="shared" si="0"/>
        <v>168.15221578159264</v>
      </c>
      <c r="G6" s="718" t="str">
        <f t="shared" si="0"/>
        <v>-</v>
      </c>
      <c r="H6" s="718" t="str">
        <f t="shared" si="0"/>
        <v>-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FW16"/>
  <sheetViews>
    <sheetView showGridLines="0" topLeftCell="A2" zoomScaleNormal="100" workbookViewId="0">
      <selection activeCell="A3" sqref="A3"/>
    </sheetView>
  </sheetViews>
  <sheetFormatPr defaultColWidth="8.5546875" defaultRowHeight="14.4" x14ac:dyDescent="0.3"/>
  <cols>
    <col min="1" max="1" width="18.44140625" style="28" customWidth="1"/>
    <col min="2" max="2" width="8.5546875" style="28" customWidth="1"/>
    <col min="3" max="3" width="8" style="28" bestFit="1" customWidth="1"/>
    <col min="4" max="4" width="8.5546875" style="28" bestFit="1" customWidth="1"/>
    <col min="5" max="5" width="8" style="28" bestFit="1" customWidth="1"/>
    <col min="6" max="6" width="8.5546875" style="28" bestFit="1" customWidth="1"/>
    <col min="7" max="7" width="8" style="28" bestFit="1" customWidth="1"/>
    <col min="8" max="8" width="9.44140625" style="28" customWidth="1"/>
    <col min="9" max="9" width="9.109375" style="28" customWidth="1"/>
    <col min="10" max="10" width="10.5546875" style="28" customWidth="1"/>
    <col min="11" max="11" width="8.5546875" style="28" customWidth="1"/>
    <col min="12" max="12" width="14.109375" style="28" customWidth="1"/>
    <col min="13" max="13" width="8.5546875" style="28"/>
    <col min="14" max="14" width="9.88671875" style="28" bestFit="1" customWidth="1"/>
    <col min="15" max="17" width="8.88671875" style="28" bestFit="1" customWidth="1"/>
    <col min="18" max="16384" width="8.5546875" style="28"/>
  </cols>
  <sheetData>
    <row r="1" spans="1:179" hidden="1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x14ac:dyDescent="0.3"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48" t="s">
        <v>348</v>
      </c>
      <c r="B3" s="48"/>
      <c r="C3" s="48"/>
      <c r="D3" s="48"/>
      <c r="E3" s="48"/>
      <c r="F3" s="48"/>
      <c r="G3" s="48"/>
      <c r="H3" s="48"/>
      <c r="I3" s="278" t="s">
        <v>315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5.9" customHeight="1" x14ac:dyDescent="0.3">
      <c r="A4" s="838" t="s">
        <v>203</v>
      </c>
      <c r="B4" s="840" t="s">
        <v>561</v>
      </c>
      <c r="C4" s="841"/>
      <c r="D4" s="842" t="s">
        <v>562</v>
      </c>
      <c r="E4" s="841"/>
      <c r="F4" s="842" t="s">
        <v>588</v>
      </c>
      <c r="G4" s="841"/>
      <c r="H4" s="836" t="s">
        <v>396</v>
      </c>
      <c r="I4" s="836" t="s">
        <v>397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s="212" customFormat="1" ht="14.1" customHeight="1" x14ac:dyDescent="0.3">
      <c r="A5" s="839"/>
      <c r="B5" s="209" t="s">
        <v>2</v>
      </c>
      <c r="C5" s="210" t="s">
        <v>349</v>
      </c>
      <c r="D5" s="211" t="s">
        <v>2</v>
      </c>
      <c r="E5" s="210" t="s">
        <v>3</v>
      </c>
      <c r="F5" s="211" t="s">
        <v>2</v>
      </c>
      <c r="G5" s="210" t="s">
        <v>3</v>
      </c>
      <c r="H5" s="837"/>
      <c r="I5" s="837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s="212" customFormat="1" ht="14.1" customHeight="1" x14ac:dyDescent="0.3">
      <c r="A6" s="213" t="s">
        <v>350</v>
      </c>
      <c r="B6" s="214">
        <v>4715.7820000000002</v>
      </c>
      <c r="C6" s="215">
        <f t="shared" ref="C6:C15" si="0">IFERROR(B6/B$16*100,0)</f>
        <v>62.889159666768066</v>
      </c>
      <c r="D6" s="216">
        <v>5298.9309999999996</v>
      </c>
      <c r="E6" s="215">
        <f t="shared" ref="E6:E15" si="1">IFERROR(D6/D$16*100,0)</f>
        <v>69.767207010780538</v>
      </c>
      <c r="F6" s="216">
        <v>4309.9290000000001</v>
      </c>
      <c r="G6" s="215">
        <f t="shared" ref="G6:G15" si="2">IFERROR(F6/F$16*100,0)</f>
        <v>55.683067430463176</v>
      </c>
      <c r="H6" s="217">
        <f>IFERROR(D6/B6*100,0)</f>
        <v>112.36590241024712</v>
      </c>
      <c r="I6" s="217">
        <f>IFERROR(F6/D6*100,0)</f>
        <v>81.335820375845628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s="212" customFormat="1" ht="14.1" customHeight="1" x14ac:dyDescent="0.3">
      <c r="A7" s="213" t="s">
        <v>351</v>
      </c>
      <c r="B7" s="214">
        <v>26.093</v>
      </c>
      <c r="C7" s="215">
        <f t="shared" si="0"/>
        <v>0.34797343116899365</v>
      </c>
      <c r="D7" s="216">
        <v>22.213999999999999</v>
      </c>
      <c r="E7" s="215">
        <f t="shared" si="1"/>
        <v>0.29247573454673764</v>
      </c>
      <c r="F7" s="216">
        <v>69.734999999999999</v>
      </c>
      <c r="G7" s="215">
        <f t="shared" si="2"/>
        <v>0.90095653716415047</v>
      </c>
      <c r="H7" s="217">
        <f t="shared" ref="H7:H16" si="3">IFERROR(D7/B7*100,0)</f>
        <v>85.133943969647035</v>
      </c>
      <c r="I7" s="217">
        <f>IFERROR(F7/D7*100,0)</f>
        <v>313.92365175114793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213" t="s">
        <v>352</v>
      </c>
      <c r="B8" s="214">
        <v>103.43300000000001</v>
      </c>
      <c r="C8" s="215">
        <f t="shared" si="0"/>
        <v>1.3793713220443231</v>
      </c>
      <c r="D8" s="216">
        <v>68.863</v>
      </c>
      <c r="E8" s="215">
        <f t="shared" si="1"/>
        <v>0.90666951058305556</v>
      </c>
      <c r="F8" s="216">
        <v>100.529</v>
      </c>
      <c r="G8" s="215">
        <f t="shared" si="2"/>
        <v>1.298806334331037</v>
      </c>
      <c r="H8" s="217">
        <f t="shared" si="3"/>
        <v>66.57739792909419</v>
      </c>
      <c r="I8" s="217">
        <f>IFERROR(F8/D8*100,0)</f>
        <v>145.98405529820079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213" t="s">
        <v>353</v>
      </c>
      <c r="B9" s="214">
        <v>378.39100000000002</v>
      </c>
      <c r="C9" s="215">
        <f t="shared" si="0"/>
        <v>5.0461815273623838</v>
      </c>
      <c r="D9" s="216">
        <v>384.49299999999999</v>
      </c>
      <c r="E9" s="215">
        <f t="shared" si="1"/>
        <v>5.0623423338020528</v>
      </c>
      <c r="F9" s="216">
        <v>452.48200000000003</v>
      </c>
      <c r="G9" s="215">
        <f t="shared" si="2"/>
        <v>5.8459398558702107</v>
      </c>
      <c r="H9" s="217">
        <f t="shared" si="3"/>
        <v>101.61261763625456</v>
      </c>
      <c r="I9" s="217">
        <f t="shared" ref="I9:I16" si="4">IFERROR(F9/D9*100,0)</f>
        <v>117.68276665635007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213" t="s">
        <v>354</v>
      </c>
      <c r="B10" s="214">
        <v>365.10399999999998</v>
      </c>
      <c r="C10" s="215">
        <f t="shared" si="0"/>
        <v>4.8689875297407061</v>
      </c>
      <c r="D10" s="216">
        <v>331.26400000000001</v>
      </c>
      <c r="E10" s="215">
        <f t="shared" si="1"/>
        <v>4.3615144381421853</v>
      </c>
      <c r="F10" s="216">
        <v>511.39100000000002</v>
      </c>
      <c r="G10" s="215">
        <f t="shared" si="2"/>
        <v>6.607027525588471</v>
      </c>
      <c r="H10" s="217">
        <f t="shared" si="3"/>
        <v>90.731408037162026</v>
      </c>
      <c r="I10" s="217">
        <f t="shared" si="4"/>
        <v>154.37566412287481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213" t="s">
        <v>355</v>
      </c>
      <c r="B11" s="214">
        <v>891.61900000000003</v>
      </c>
      <c r="C11" s="215">
        <f t="shared" si="0"/>
        <v>11.890534730596979</v>
      </c>
      <c r="D11" s="216">
        <v>557.92700000000002</v>
      </c>
      <c r="E11" s="215">
        <f t="shared" si="1"/>
        <v>7.3458228661410692</v>
      </c>
      <c r="F11" s="216">
        <v>987.43100000000004</v>
      </c>
      <c r="G11" s="215">
        <f t="shared" si="2"/>
        <v>12.75733009892499</v>
      </c>
      <c r="H11" s="217">
        <f t="shared" si="3"/>
        <v>62.574597445769996</v>
      </c>
      <c r="I11" s="217">
        <f t="shared" si="4"/>
        <v>176.98211414754977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218" t="s">
        <v>356</v>
      </c>
      <c r="B12" s="219">
        <f>SUM(B6:B11)</f>
        <v>6480.4219999999996</v>
      </c>
      <c r="C12" s="220">
        <f t="shared" si="0"/>
        <v>86.42220820768145</v>
      </c>
      <c r="D12" s="221">
        <f>SUM(D6:D11)</f>
        <v>6663.692</v>
      </c>
      <c r="E12" s="220">
        <f t="shared" si="1"/>
        <v>87.736031893995644</v>
      </c>
      <c r="F12" s="221">
        <f>SUM(F6:F11)</f>
        <v>6431.4969999999994</v>
      </c>
      <c r="G12" s="220">
        <f t="shared" si="2"/>
        <v>83.093127782342023</v>
      </c>
      <c r="H12" s="222">
        <f t="shared" si="3"/>
        <v>102.82805656792104</v>
      </c>
      <c r="I12" s="222">
        <f t="shared" si="4"/>
        <v>96.515520225124448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223" t="s">
        <v>556</v>
      </c>
      <c r="B13" s="214">
        <v>989.63800000000003</v>
      </c>
      <c r="C13" s="215">
        <f t="shared" si="0"/>
        <v>13.197705533101619</v>
      </c>
      <c r="D13" s="216">
        <v>922.49599999999998</v>
      </c>
      <c r="E13" s="215">
        <f t="shared" si="1"/>
        <v>12.145840245630112</v>
      </c>
      <c r="F13" s="216">
        <v>1299.1489999999999</v>
      </c>
      <c r="G13" s="215">
        <f t="shared" si="2"/>
        <v>16.784638765329731</v>
      </c>
      <c r="H13" s="217">
        <f t="shared" si="3"/>
        <v>93.21549900064467</v>
      </c>
      <c r="I13" s="217">
        <f t="shared" si="4"/>
        <v>140.82977053559037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223" t="s">
        <v>357</v>
      </c>
      <c r="B14" s="214">
        <v>28.501000000000001</v>
      </c>
      <c r="C14" s="215">
        <f t="shared" si="0"/>
        <v>0.38008625921693512</v>
      </c>
      <c r="D14" s="216">
        <v>8.9719999999999995</v>
      </c>
      <c r="E14" s="215">
        <f t="shared" si="1"/>
        <v>0.11812786037423834</v>
      </c>
      <c r="F14" s="216">
        <v>9.4610000000000003</v>
      </c>
      <c r="G14" s="215">
        <f t="shared" si="2"/>
        <v>0.12223345232824302</v>
      </c>
      <c r="H14" s="217">
        <f t="shared" si="3"/>
        <v>31.479597207115539</v>
      </c>
      <c r="I14" s="217">
        <f t="shared" si="4"/>
        <v>105.45028979045921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218" t="s">
        <v>358</v>
      </c>
      <c r="B15" s="219">
        <f>SUM(B13:B14)</f>
        <v>1018.139</v>
      </c>
      <c r="C15" s="220">
        <f t="shared" si="0"/>
        <v>13.577791792318553</v>
      </c>
      <c r="D15" s="221">
        <f>SUM(D13:D14)</f>
        <v>931.46799999999996</v>
      </c>
      <c r="E15" s="220">
        <f t="shared" si="1"/>
        <v>12.26396810600435</v>
      </c>
      <c r="F15" s="221">
        <f>SUM(F13:F14)</f>
        <v>1308.6099999999999</v>
      </c>
      <c r="G15" s="220">
        <f t="shared" si="2"/>
        <v>16.906872217657973</v>
      </c>
      <c r="H15" s="222">
        <f t="shared" si="3"/>
        <v>91.487311653909728</v>
      </c>
      <c r="I15" s="222">
        <f t="shared" si="4"/>
        <v>140.4889915702955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thickBot="1" x14ac:dyDescent="0.35">
      <c r="A16" s="224" t="s">
        <v>359</v>
      </c>
      <c r="B16" s="225">
        <f t="shared" ref="B16:F16" si="5">B12+B15</f>
        <v>7498.5609999999997</v>
      </c>
      <c r="C16" s="226">
        <f t="shared" si="5"/>
        <v>100</v>
      </c>
      <c r="D16" s="227">
        <f t="shared" si="5"/>
        <v>7595.16</v>
      </c>
      <c r="E16" s="226">
        <f t="shared" ref="E16:G16" si="6">E12+E15</f>
        <v>100</v>
      </c>
      <c r="F16" s="227">
        <f t="shared" si="5"/>
        <v>7740.1069999999991</v>
      </c>
      <c r="G16" s="226">
        <f t="shared" si="6"/>
        <v>100</v>
      </c>
      <c r="H16" s="228">
        <f t="shared" si="3"/>
        <v>101.28823383579864</v>
      </c>
      <c r="I16" s="228">
        <f t="shared" si="4"/>
        <v>101.90841272599917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1:FW22"/>
  <sheetViews>
    <sheetView showGridLines="0" zoomScaleNormal="100" workbookViewId="0">
      <selection activeCell="A2" sqref="A2"/>
    </sheetView>
  </sheetViews>
  <sheetFormatPr defaultColWidth="8.5546875" defaultRowHeight="14.4" x14ac:dyDescent="0.3"/>
  <cols>
    <col min="1" max="1" width="50.6640625" style="28" customWidth="1"/>
    <col min="2" max="4" width="12.5546875" style="28" customWidth="1"/>
    <col min="5" max="6" width="10.44140625" style="28" customWidth="1"/>
    <col min="7" max="7" width="19.109375" style="28" customWidth="1"/>
    <col min="8" max="8" width="35.109375" style="28" customWidth="1"/>
    <col min="9" max="9" width="8.5546875" style="28" customWidth="1"/>
    <col min="10" max="16384" width="8.5546875" style="28"/>
  </cols>
  <sheetData>
    <row r="1" spans="1:179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customHeight="1" x14ac:dyDescent="0.3">
      <c r="A2" s="48" t="s">
        <v>360</v>
      </c>
      <c r="B2" s="48"/>
      <c r="C2" s="48"/>
      <c r="D2" s="51" t="s">
        <v>3</v>
      </c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x14ac:dyDescent="0.3">
      <c r="A3" s="65" t="s">
        <v>10</v>
      </c>
      <c r="B3" s="191" t="str">
        <f>B12</f>
        <v>2021.</v>
      </c>
      <c r="C3" s="192" t="str">
        <f t="shared" ref="C3:D3" si="0">C12</f>
        <v>2022.</v>
      </c>
      <c r="D3" s="192" t="str">
        <f t="shared" si="0"/>
        <v>2023.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1" customHeight="1" x14ac:dyDescent="0.3">
      <c r="A4" s="55" t="s">
        <v>362</v>
      </c>
      <c r="B4" s="193">
        <f>IF(B14&lt;&gt;0,B13*100/B14,0)</f>
        <v>28.718933526313247</v>
      </c>
      <c r="C4" s="194">
        <f>IF(C14&lt;&gt;0,C13*100/C14,0)</f>
        <v>27.374921762526423</v>
      </c>
      <c r="D4" s="194">
        <f>IF(D14&lt;&gt;0,D13*100/D14,0)</f>
        <v>25.742088416249636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4.1" customHeight="1" x14ac:dyDescent="0.3">
      <c r="A5" s="55" t="s">
        <v>363</v>
      </c>
      <c r="B5" s="193">
        <f>IF(B15&lt;&gt;0,B13*100/B15,0)</f>
        <v>40.726044245743168</v>
      </c>
      <c r="C5" s="194">
        <f>IF(C15&lt;&gt;0,C13*100/C15,0)</f>
        <v>38.707741597591578</v>
      </c>
      <c r="D5" s="194">
        <f>IF(D15&lt;&gt;0,D13*100/D15,0)</f>
        <v>38.674335191251544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1" customHeight="1" x14ac:dyDescent="0.3">
      <c r="A6" s="55" t="s">
        <v>364</v>
      </c>
      <c r="B6" s="193">
        <f>IF(B16&lt;&gt;0,B15*100/B16,0)</f>
        <v>79.971854927014462</v>
      </c>
      <c r="C6" s="194">
        <f>IF(C16&lt;&gt;0,C15*100/C16,0)</f>
        <v>80.912125816732711</v>
      </c>
      <c r="D6" s="194">
        <f>IF(D16&lt;&gt;0,D15*100/D16,0)</f>
        <v>76.674413193687599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55" t="s">
        <v>365</v>
      </c>
      <c r="B7" s="193">
        <f>IF(B18+B19&lt;&gt;0,B17*100/(B18+B19),0)</f>
        <v>69.744329816248523</v>
      </c>
      <c r="C7" s="194">
        <f>IF(C18+C19&lt;&gt;0,C17*100/(C18+C19),0)</f>
        <v>69.795399793610613</v>
      </c>
      <c r="D7" s="194">
        <f>IF(D18+D19&lt;&gt;0,D17*100/(D18+D19),0)</f>
        <v>71.607652204344902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thickBot="1" x14ac:dyDescent="0.35">
      <c r="A8" s="60" t="s">
        <v>366</v>
      </c>
      <c r="B8" s="195">
        <f>IF(B18+B19+B20&lt;&gt;0,B17*100/(B18+B19+B20),0)</f>
        <v>69.301515559735279</v>
      </c>
      <c r="C8" s="196">
        <f>IF(C18+C19+C20&lt;&gt;0,C17*100/(C18+C19+C20),0)</f>
        <v>69.358616196883361</v>
      </c>
      <c r="D8" s="196">
        <f>IF(D18+D19+D20&lt;&gt;0,D17*100/(D18+D19+D20),0)</f>
        <v>71.012805546944207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5.5" customHeight="1" x14ac:dyDescent="0.3">
      <c r="A9" s="843" t="s">
        <v>367</v>
      </c>
      <c r="B9" s="843"/>
      <c r="C9" s="843"/>
      <c r="D9" s="843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5.6" x14ac:dyDescent="0.3">
      <c r="B10" s="230"/>
      <c r="C10" s="230"/>
      <c r="D10" s="230"/>
    </row>
    <row r="11" spans="1:179" ht="15.6" x14ac:dyDescent="0.3">
      <c r="A11" s="231"/>
      <c r="B11" s="230"/>
      <c r="C11" s="230"/>
      <c r="D11" s="230"/>
    </row>
    <row r="12" spans="1:179" hidden="1" x14ac:dyDescent="0.3">
      <c r="A12" s="405" t="s">
        <v>138</v>
      </c>
      <c r="B12" s="403" t="s">
        <v>561</v>
      </c>
      <c r="C12" s="403" t="s">
        <v>562</v>
      </c>
      <c r="D12" s="403" t="s">
        <v>588</v>
      </c>
      <c r="E12"/>
      <c r="F12"/>
    </row>
    <row r="13" spans="1:179" customFormat="1" ht="14.1" hidden="1" customHeight="1" x14ac:dyDescent="0.3">
      <c r="A13" s="404" t="s">
        <v>368</v>
      </c>
      <c r="B13" s="321">
        <v>2743.018</v>
      </c>
      <c r="C13" s="321">
        <v>2671.0129999999999</v>
      </c>
      <c r="D13" s="321">
        <v>2582.08</v>
      </c>
      <c r="F13" t="s">
        <v>406</v>
      </c>
      <c r="G13" t="s">
        <v>399</v>
      </c>
      <c r="I13" s="229" t="s">
        <v>361</v>
      </c>
    </row>
    <row r="14" spans="1:179" customFormat="1" ht="14.1" hidden="1" customHeight="1" x14ac:dyDescent="0.3">
      <c r="A14" s="404" t="s">
        <v>370</v>
      </c>
      <c r="B14" s="321">
        <v>9551.2530000000006</v>
      </c>
      <c r="C14" s="321">
        <v>9757.1530000000002</v>
      </c>
      <c r="D14" s="321">
        <v>10030.576999999999</v>
      </c>
      <c r="F14" t="s">
        <v>404</v>
      </c>
      <c r="G14" t="s">
        <v>398</v>
      </c>
      <c r="I14" t="s">
        <v>369</v>
      </c>
      <c r="T14" s="24"/>
    </row>
    <row r="15" spans="1:179" customFormat="1" ht="14.1" hidden="1" customHeight="1" x14ac:dyDescent="0.3">
      <c r="A15" s="404" t="s">
        <v>372</v>
      </c>
      <c r="B15" s="321">
        <v>6735.2920000000004</v>
      </c>
      <c r="C15" s="321">
        <v>6900.4620000000004</v>
      </c>
      <c r="D15" s="321">
        <v>6676.4690000000001</v>
      </c>
      <c r="F15" t="s">
        <v>406</v>
      </c>
      <c r="G15" t="s">
        <v>407</v>
      </c>
      <c r="I15" t="s">
        <v>371</v>
      </c>
      <c r="T15" s="24"/>
    </row>
    <row r="16" spans="1:179" customFormat="1" ht="14.1" hidden="1" customHeight="1" x14ac:dyDescent="0.3">
      <c r="A16" s="404" t="s">
        <v>374</v>
      </c>
      <c r="B16" s="321">
        <v>8422.0779999999995</v>
      </c>
      <c r="C16" s="321">
        <v>8528.3410000000003</v>
      </c>
      <c r="D16" s="321">
        <v>8707.5580000000009</v>
      </c>
      <c r="F16" t="s">
        <v>406</v>
      </c>
      <c r="G16" t="s">
        <v>405</v>
      </c>
      <c r="I16" t="s">
        <v>373</v>
      </c>
      <c r="T16" s="24"/>
    </row>
    <row r="17" spans="1:20" customFormat="1" ht="14.1" hidden="1" customHeight="1" x14ac:dyDescent="0.3">
      <c r="A17" s="404" t="s">
        <v>375</v>
      </c>
      <c r="B17" s="321">
        <v>5705.1350000000002</v>
      </c>
      <c r="C17" s="321">
        <v>5792.91</v>
      </c>
      <c r="D17" s="321">
        <v>6056.5429999999997</v>
      </c>
      <c r="F17" t="s">
        <v>404</v>
      </c>
      <c r="G17" t="s">
        <v>400</v>
      </c>
      <c r="I17" t="s">
        <v>117</v>
      </c>
      <c r="T17" s="24"/>
    </row>
    <row r="18" spans="1:20" customFormat="1" ht="14.1" hidden="1" customHeight="1" x14ac:dyDescent="0.3">
      <c r="A18" s="404" t="s">
        <v>376</v>
      </c>
      <c r="B18" s="321">
        <v>7498.5609999999997</v>
      </c>
      <c r="C18" s="321">
        <v>7595.16</v>
      </c>
      <c r="D18" s="321">
        <v>7740.107</v>
      </c>
      <c r="F18" t="s">
        <v>404</v>
      </c>
      <c r="G18" t="s">
        <v>401</v>
      </c>
      <c r="T18" s="24"/>
    </row>
    <row r="19" spans="1:20" customFormat="1" ht="14.1" hidden="1" customHeight="1" x14ac:dyDescent="0.3">
      <c r="A19" s="404" t="s">
        <v>378</v>
      </c>
      <c r="B19" s="321">
        <v>681.50900000000001</v>
      </c>
      <c r="C19" s="321">
        <v>704.68499999999995</v>
      </c>
      <c r="D19" s="321">
        <v>717.84799999999996</v>
      </c>
      <c r="F19" t="s">
        <v>404</v>
      </c>
      <c r="G19" t="s">
        <v>402</v>
      </c>
      <c r="I19" t="s">
        <v>377</v>
      </c>
      <c r="T19" s="24"/>
    </row>
    <row r="20" spans="1:20" customFormat="1" ht="14.1" hidden="1" customHeight="1" x14ac:dyDescent="0.3">
      <c r="A20" s="404" t="s">
        <v>380</v>
      </c>
      <c r="B20" s="321">
        <v>52.268000000000001</v>
      </c>
      <c r="C20" s="321">
        <v>52.268000000000001</v>
      </c>
      <c r="D20" s="321">
        <v>70.849000000000004</v>
      </c>
      <c r="F20" t="s">
        <v>404</v>
      </c>
      <c r="G20" t="s">
        <v>403</v>
      </c>
      <c r="I20" t="s">
        <v>379</v>
      </c>
      <c r="T20" s="24"/>
    </row>
    <row r="21" spans="1:20" x14ac:dyDescent="0.3">
      <c r="E21"/>
      <c r="F21"/>
      <c r="I21"/>
    </row>
    <row r="22" spans="1:20" x14ac:dyDescent="0.3">
      <c r="I22"/>
    </row>
  </sheetData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FW18"/>
  <sheetViews>
    <sheetView showGridLines="0" zoomScaleNormal="100" workbookViewId="0">
      <selection activeCell="A2" sqref="A2"/>
    </sheetView>
  </sheetViews>
  <sheetFormatPr defaultColWidth="9.109375" defaultRowHeight="12" x14ac:dyDescent="0.25"/>
  <cols>
    <col min="1" max="1" width="12" style="3" customWidth="1"/>
    <col min="2" max="2" width="10.6640625" style="3" customWidth="1"/>
    <col min="3" max="3" width="8.33203125" style="3" customWidth="1"/>
    <col min="4" max="4" width="10.6640625" style="3" customWidth="1"/>
    <col min="5" max="5" width="8.33203125" style="3" customWidth="1"/>
    <col min="6" max="6" width="10.6640625" style="3" customWidth="1"/>
    <col min="7" max="7" width="8.33203125" style="3" customWidth="1"/>
    <col min="8" max="8" width="10.6640625" style="3" customWidth="1"/>
    <col min="9" max="9" width="8.33203125" style="3" customWidth="1"/>
    <col min="10" max="16384" width="9.109375" style="3"/>
  </cols>
  <sheetData>
    <row r="1" spans="1:179" ht="14.4" x14ac:dyDescent="0.3">
      <c r="B1" s="125"/>
      <c r="C1" s="125"/>
      <c r="D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customHeight="1" x14ac:dyDescent="0.3">
      <c r="A2" s="48" t="s">
        <v>312</v>
      </c>
      <c r="B2" s="48"/>
      <c r="C2" s="48"/>
      <c r="D2" s="48"/>
      <c r="E2" s="48"/>
      <c r="F2" s="48"/>
      <c r="G2" s="48"/>
      <c r="H2" s="48"/>
      <c r="I2" s="278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735" t="s">
        <v>31</v>
      </c>
      <c r="B3" s="764" t="s">
        <v>148</v>
      </c>
      <c r="C3" s="847"/>
      <c r="D3" s="846" t="s">
        <v>149</v>
      </c>
      <c r="E3" s="844"/>
      <c r="F3" s="844"/>
      <c r="G3" s="845"/>
      <c r="H3" s="752" t="s">
        <v>16</v>
      </c>
      <c r="I3" s="752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22.5" customHeight="1" x14ac:dyDescent="0.3">
      <c r="A4" s="735"/>
      <c r="B4" s="846"/>
      <c r="C4" s="845"/>
      <c r="D4" s="846" t="s">
        <v>122</v>
      </c>
      <c r="E4" s="844"/>
      <c r="F4" s="844" t="s">
        <v>123</v>
      </c>
      <c r="G4" s="845"/>
      <c r="H4" s="844"/>
      <c r="I4" s="84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29.25" customHeight="1" x14ac:dyDescent="0.3">
      <c r="A5" s="736"/>
      <c r="B5" s="53" t="s">
        <v>124</v>
      </c>
      <c r="C5" s="83" t="s">
        <v>386</v>
      </c>
      <c r="D5" s="53" t="s">
        <v>124</v>
      </c>
      <c r="E5" s="54" t="s">
        <v>386</v>
      </c>
      <c r="F5" s="54" t="s">
        <v>124</v>
      </c>
      <c r="G5" s="83" t="s">
        <v>386</v>
      </c>
      <c r="H5" s="54" t="s">
        <v>124</v>
      </c>
      <c r="I5" s="54" t="s">
        <v>423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1" customHeight="1" x14ac:dyDescent="0.3">
      <c r="A6" s="494" t="s">
        <v>596</v>
      </c>
      <c r="B6" s="495">
        <v>1628516</v>
      </c>
      <c r="C6" s="496">
        <v>1487.847</v>
      </c>
      <c r="D6" s="495">
        <v>2437743</v>
      </c>
      <c r="E6" s="131">
        <v>2641.9319999999998</v>
      </c>
      <c r="F6" s="372">
        <v>1279147</v>
      </c>
      <c r="G6" s="496">
        <v>2609.2020000000002</v>
      </c>
      <c r="H6" s="372">
        <f t="shared" ref="H6:H17" si="0">B6+D6+F6</f>
        <v>5345406</v>
      </c>
      <c r="I6" s="131">
        <f t="shared" ref="I6:I17" si="1">C6+E6+G6</f>
        <v>6738.9809999999998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1" customHeight="1" x14ac:dyDescent="0.3">
      <c r="A7" s="494" t="s">
        <v>597</v>
      </c>
      <c r="B7" s="495">
        <v>1568772</v>
      </c>
      <c r="C7" s="496">
        <v>1459.0150000000001</v>
      </c>
      <c r="D7" s="495">
        <v>2545897</v>
      </c>
      <c r="E7" s="131">
        <v>2863.627</v>
      </c>
      <c r="F7" s="372">
        <v>1465487</v>
      </c>
      <c r="G7" s="496">
        <v>2911.0189999999998</v>
      </c>
      <c r="H7" s="372">
        <f t="shared" si="0"/>
        <v>5580156</v>
      </c>
      <c r="I7" s="131">
        <f t="shared" si="1"/>
        <v>7233.6610000000001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1" customHeight="1" x14ac:dyDescent="0.3">
      <c r="A8" s="494" t="s">
        <v>563</v>
      </c>
      <c r="B8" s="495">
        <v>1712000</v>
      </c>
      <c r="C8" s="496">
        <v>1557.2180000000001</v>
      </c>
      <c r="D8" s="495">
        <v>2850034</v>
      </c>
      <c r="E8" s="131">
        <v>3562.9870000000001</v>
      </c>
      <c r="F8" s="372">
        <v>1574077</v>
      </c>
      <c r="G8" s="496">
        <v>3270.4259999999999</v>
      </c>
      <c r="H8" s="372">
        <f t="shared" si="0"/>
        <v>6136111</v>
      </c>
      <c r="I8" s="131">
        <f t="shared" si="1"/>
        <v>8390.6309999999994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1" customHeight="1" x14ac:dyDescent="0.3">
      <c r="A9" s="494" t="s">
        <v>598</v>
      </c>
      <c r="B9" s="495">
        <v>1599894</v>
      </c>
      <c r="C9" s="496">
        <v>1440.078</v>
      </c>
      <c r="D9" s="495">
        <v>2661054</v>
      </c>
      <c r="E9" s="131">
        <v>3172.0509999999999</v>
      </c>
      <c r="F9" s="372">
        <v>1467232</v>
      </c>
      <c r="G9" s="496">
        <v>2770.5520000000001</v>
      </c>
      <c r="H9" s="372">
        <f t="shared" si="0"/>
        <v>5728180</v>
      </c>
      <c r="I9" s="131">
        <f t="shared" si="1"/>
        <v>7382.6810000000005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1" customHeight="1" x14ac:dyDescent="0.3">
      <c r="A10" s="494" t="s">
        <v>599</v>
      </c>
      <c r="B10" s="495">
        <v>1676836</v>
      </c>
      <c r="C10" s="496">
        <v>1525.74</v>
      </c>
      <c r="D10" s="495">
        <v>2901664</v>
      </c>
      <c r="E10" s="131">
        <v>3274.027</v>
      </c>
      <c r="F10" s="372">
        <v>1592069</v>
      </c>
      <c r="G10" s="496">
        <v>3138.0630000000001</v>
      </c>
      <c r="H10" s="372">
        <f t="shared" si="0"/>
        <v>6170569</v>
      </c>
      <c r="I10" s="131">
        <f t="shared" si="1"/>
        <v>7937.83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1" customHeight="1" x14ac:dyDescent="0.3">
      <c r="A11" s="494" t="s">
        <v>582</v>
      </c>
      <c r="B11" s="495">
        <v>1665350</v>
      </c>
      <c r="C11" s="496">
        <v>1489.6420000000001</v>
      </c>
      <c r="D11" s="495">
        <v>2884658</v>
      </c>
      <c r="E11" s="131">
        <v>4283.07</v>
      </c>
      <c r="F11" s="372">
        <v>1582823</v>
      </c>
      <c r="G11" s="496">
        <v>3373.4989999999998</v>
      </c>
      <c r="H11" s="372">
        <f t="shared" si="0"/>
        <v>6132831</v>
      </c>
      <c r="I11" s="131">
        <f t="shared" si="1"/>
        <v>9146.2109999999993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1" customHeight="1" x14ac:dyDescent="0.3">
      <c r="A12" s="494" t="s">
        <v>600</v>
      </c>
      <c r="B12" s="495">
        <v>1643784</v>
      </c>
      <c r="C12" s="496">
        <v>1628.3620000000001</v>
      </c>
      <c r="D12" s="495">
        <v>2934469</v>
      </c>
      <c r="E12" s="131">
        <v>3256.9360000000001</v>
      </c>
      <c r="F12" s="372">
        <v>1597701</v>
      </c>
      <c r="G12" s="496">
        <v>3149.5880000000002</v>
      </c>
      <c r="H12" s="372">
        <f t="shared" si="0"/>
        <v>6175954</v>
      </c>
      <c r="I12" s="131">
        <f t="shared" si="1"/>
        <v>8034.8860000000004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1" customHeight="1" x14ac:dyDescent="0.3">
      <c r="A13" s="494" t="s">
        <v>601</v>
      </c>
      <c r="B13" s="495">
        <v>1655269</v>
      </c>
      <c r="C13" s="496">
        <v>1783.32</v>
      </c>
      <c r="D13" s="495">
        <v>2946377</v>
      </c>
      <c r="E13" s="131">
        <v>3567.5819999999999</v>
      </c>
      <c r="F13" s="372">
        <v>1515468</v>
      </c>
      <c r="G13" s="496">
        <v>3382.5819999999999</v>
      </c>
      <c r="H13" s="372">
        <f t="shared" si="0"/>
        <v>6117114</v>
      </c>
      <c r="I13" s="131">
        <f t="shared" si="1"/>
        <v>8733.4840000000004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1" customHeight="1" x14ac:dyDescent="0.3">
      <c r="A14" s="494" t="s">
        <v>595</v>
      </c>
      <c r="B14" s="495">
        <v>1604235</v>
      </c>
      <c r="C14" s="496">
        <v>1533.0239999999999</v>
      </c>
      <c r="D14" s="495">
        <v>2954601</v>
      </c>
      <c r="E14" s="131">
        <v>3441.2719999999999</v>
      </c>
      <c r="F14" s="372">
        <v>1468358</v>
      </c>
      <c r="G14" s="496">
        <v>3519.1660000000002</v>
      </c>
      <c r="H14" s="372">
        <f t="shared" si="0"/>
        <v>6027194</v>
      </c>
      <c r="I14" s="131">
        <f t="shared" si="1"/>
        <v>8493.4619999999995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1" customHeight="1" x14ac:dyDescent="0.3">
      <c r="A15" s="494" t="s">
        <v>602</v>
      </c>
      <c r="B15" s="495">
        <v>1642810</v>
      </c>
      <c r="C15" s="496">
        <v>1626.3820000000001</v>
      </c>
      <c r="D15" s="495">
        <v>3073426</v>
      </c>
      <c r="E15" s="131">
        <v>3597.9279999999999</v>
      </c>
      <c r="F15" s="372">
        <v>1564483</v>
      </c>
      <c r="G15" s="496">
        <v>3366.9079999999999</v>
      </c>
      <c r="H15" s="372">
        <f t="shared" si="0"/>
        <v>6280719</v>
      </c>
      <c r="I15" s="131">
        <f t="shared" si="1"/>
        <v>8591.2179999999989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1" customHeight="1" x14ac:dyDescent="0.3">
      <c r="A16" s="494" t="s">
        <v>603</v>
      </c>
      <c r="B16" s="495">
        <v>1553458</v>
      </c>
      <c r="C16" s="496">
        <v>1458.864</v>
      </c>
      <c r="D16" s="495">
        <v>2964886</v>
      </c>
      <c r="E16" s="131">
        <v>3497.701</v>
      </c>
      <c r="F16" s="372">
        <v>1481386</v>
      </c>
      <c r="G16" s="496">
        <v>3300.0210000000002</v>
      </c>
      <c r="H16" s="372">
        <f t="shared" si="0"/>
        <v>5999730</v>
      </c>
      <c r="I16" s="131">
        <f t="shared" si="1"/>
        <v>8256.5860000000011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1" customHeight="1" x14ac:dyDescent="0.3">
      <c r="A17" s="494" t="s">
        <v>594</v>
      </c>
      <c r="B17" s="495">
        <v>1590246</v>
      </c>
      <c r="C17" s="496">
        <v>1560.393</v>
      </c>
      <c r="D17" s="495">
        <v>3080092</v>
      </c>
      <c r="E17" s="131">
        <v>4630.6419999999998</v>
      </c>
      <c r="F17" s="372">
        <v>1620585</v>
      </c>
      <c r="G17" s="496">
        <v>3707.4679999999998</v>
      </c>
      <c r="H17" s="372">
        <f t="shared" si="0"/>
        <v>6290923</v>
      </c>
      <c r="I17" s="131">
        <f t="shared" si="1"/>
        <v>9898.5030000000006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1" customHeight="1" thickBot="1" x14ac:dyDescent="0.35">
      <c r="A18" s="497" t="s">
        <v>30</v>
      </c>
      <c r="B18" s="498">
        <f t="shared" ref="B18:I18" si="2">SUM(B6:B17)</f>
        <v>19541170</v>
      </c>
      <c r="C18" s="499">
        <f t="shared" si="2"/>
        <v>18549.884999999998</v>
      </c>
      <c r="D18" s="498">
        <f t="shared" si="2"/>
        <v>34234901</v>
      </c>
      <c r="E18" s="132">
        <f t="shared" si="2"/>
        <v>41789.754999999997</v>
      </c>
      <c r="F18" s="492">
        <f t="shared" si="2"/>
        <v>18208816</v>
      </c>
      <c r="G18" s="499">
        <f t="shared" si="2"/>
        <v>38498.493999999999</v>
      </c>
      <c r="H18" s="492">
        <f t="shared" si="2"/>
        <v>71984887</v>
      </c>
      <c r="I18" s="132">
        <f t="shared" si="2"/>
        <v>98838.133999999976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FW13"/>
  <sheetViews>
    <sheetView showGridLines="0" topLeftCell="B1" zoomScaleNormal="100" workbookViewId="0">
      <selection activeCell="B2" sqref="B2"/>
    </sheetView>
  </sheetViews>
  <sheetFormatPr defaultColWidth="9.109375" defaultRowHeight="12" x14ac:dyDescent="0.25"/>
  <cols>
    <col min="1" max="1" width="9.5546875" style="3" hidden="1" customWidth="1"/>
    <col min="2" max="2" width="36.109375" style="3" customWidth="1"/>
    <col min="3" max="3" width="12" style="3" customWidth="1"/>
    <col min="4" max="4" width="18.88671875" style="3" bestFit="1" customWidth="1"/>
    <col min="5" max="5" width="16.77734375" style="3" bestFit="1" customWidth="1"/>
    <col min="6" max="6" width="9.109375" style="3"/>
    <col min="7" max="7" width="12.44140625" style="3" customWidth="1"/>
    <col min="8" max="8" width="12.109375" style="3" customWidth="1"/>
    <col min="9" max="9" width="9.33203125" style="3" customWidth="1"/>
    <col min="10" max="10" width="9.6640625" style="3" customWidth="1"/>
    <col min="11" max="16384" width="9.109375" style="3"/>
  </cols>
  <sheetData>
    <row r="1" spans="2:179" ht="14.4" x14ac:dyDescent="0.3">
      <c r="B1" s="125"/>
      <c r="C1" s="125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2:179" x14ac:dyDescent="0.25">
      <c r="B2" s="48" t="s">
        <v>274</v>
      </c>
      <c r="C2" s="48"/>
      <c r="D2" s="48"/>
      <c r="E2" s="48"/>
      <c r="F2" s="48"/>
      <c r="G2" s="48"/>
      <c r="H2" s="48"/>
      <c r="I2" s="48"/>
      <c r="J2" s="278" t="s">
        <v>390</v>
      </c>
    </row>
    <row r="3" spans="2:179" x14ac:dyDescent="0.25">
      <c r="B3" s="852" t="s">
        <v>126</v>
      </c>
      <c r="C3" s="848" t="s">
        <v>127</v>
      </c>
      <c r="D3" s="848" t="s">
        <v>128</v>
      </c>
      <c r="E3" s="848" t="s">
        <v>129</v>
      </c>
      <c r="F3" s="849" t="s">
        <v>588</v>
      </c>
      <c r="G3" s="850"/>
      <c r="H3" s="850"/>
      <c r="I3" s="850"/>
      <c r="J3" s="851"/>
    </row>
    <row r="4" spans="2:179" ht="24" customHeight="1" x14ac:dyDescent="0.25">
      <c r="B4" s="852"/>
      <c r="C4" s="848"/>
      <c r="D4" s="848"/>
      <c r="E4" s="848"/>
      <c r="F4" s="322" t="s">
        <v>392</v>
      </c>
      <c r="G4" s="322" t="s">
        <v>143</v>
      </c>
      <c r="H4" s="322" t="s">
        <v>137</v>
      </c>
      <c r="I4" s="322" t="s">
        <v>203</v>
      </c>
      <c r="J4" s="323" t="s">
        <v>1</v>
      </c>
    </row>
    <row r="5" spans="2:179" ht="15" customHeight="1" x14ac:dyDescent="0.25">
      <c r="B5" s="324" t="s">
        <v>573</v>
      </c>
      <c r="C5" s="324" t="s">
        <v>620</v>
      </c>
      <c r="D5" s="324" t="s">
        <v>615</v>
      </c>
      <c r="E5" s="324" t="s">
        <v>617</v>
      </c>
      <c r="F5" s="325">
        <v>2871.0839999999998</v>
      </c>
      <c r="G5" s="325">
        <v>309.52100000000002</v>
      </c>
      <c r="H5" s="325">
        <v>1733.886</v>
      </c>
      <c r="I5" s="325">
        <v>2207.8780000000002</v>
      </c>
      <c r="J5" s="326">
        <v>679</v>
      </c>
    </row>
    <row r="6" spans="2:179" ht="15" customHeight="1" x14ac:dyDescent="0.25">
      <c r="B6" s="327" t="s">
        <v>574</v>
      </c>
      <c r="C6" s="327" t="s">
        <v>620</v>
      </c>
      <c r="D6" s="327" t="s">
        <v>609</v>
      </c>
      <c r="E6" s="327" t="s">
        <v>610</v>
      </c>
      <c r="F6" s="328">
        <v>2046.4739999999999</v>
      </c>
      <c r="G6" s="328">
        <v>213.249</v>
      </c>
      <c r="H6" s="328">
        <v>1122.2650000000001</v>
      </c>
      <c r="I6" s="328">
        <v>1645.018</v>
      </c>
      <c r="J6" s="329">
        <v>512</v>
      </c>
    </row>
    <row r="7" spans="2:179" ht="15" customHeight="1" x14ac:dyDescent="0.25">
      <c r="B7" s="327" t="s">
        <v>575</v>
      </c>
      <c r="C7" s="327" t="s">
        <v>620</v>
      </c>
      <c r="D7" s="327" t="s">
        <v>611</v>
      </c>
      <c r="E7" s="327" t="s">
        <v>608</v>
      </c>
      <c r="F7" s="328">
        <v>1275.9159999999999</v>
      </c>
      <c r="G7" s="328">
        <v>247.26400000000001</v>
      </c>
      <c r="H7" s="328">
        <v>724.11599999999999</v>
      </c>
      <c r="I7" s="328">
        <v>938.17700000000002</v>
      </c>
      <c r="J7" s="329">
        <v>386</v>
      </c>
    </row>
    <row r="8" spans="2:179" ht="15" customHeight="1" x14ac:dyDescent="0.25">
      <c r="B8" s="327" t="s">
        <v>576</v>
      </c>
      <c r="C8" s="327" t="s">
        <v>620</v>
      </c>
      <c r="D8" s="327" t="s">
        <v>604</v>
      </c>
      <c r="E8" s="327" t="s">
        <v>618</v>
      </c>
      <c r="F8" s="328">
        <v>1213.691</v>
      </c>
      <c r="G8" s="328">
        <v>176.19200000000001</v>
      </c>
      <c r="H8" s="328">
        <v>772.79600000000005</v>
      </c>
      <c r="I8" s="328">
        <v>920.81</v>
      </c>
      <c r="J8" s="329">
        <v>388</v>
      </c>
    </row>
    <row r="9" spans="2:179" ht="15" customHeight="1" x14ac:dyDescent="0.25">
      <c r="B9" s="327" t="s">
        <v>577</v>
      </c>
      <c r="C9" s="327" t="s">
        <v>620</v>
      </c>
      <c r="D9" s="327" t="s">
        <v>606</v>
      </c>
      <c r="E9" s="327" t="s">
        <v>612</v>
      </c>
      <c r="F9" s="328">
        <v>1012.725</v>
      </c>
      <c r="G9" s="328">
        <v>174.69800000000001</v>
      </c>
      <c r="H9" s="328">
        <v>681.77200000000005</v>
      </c>
      <c r="I9" s="328">
        <v>805.20899999999995</v>
      </c>
      <c r="J9" s="329">
        <v>365</v>
      </c>
    </row>
    <row r="10" spans="2:179" ht="15" customHeight="1" x14ac:dyDescent="0.25">
      <c r="B10" s="327" t="s">
        <v>578</v>
      </c>
      <c r="C10" s="327" t="s">
        <v>620</v>
      </c>
      <c r="D10" s="327" t="s">
        <v>607</v>
      </c>
      <c r="E10" s="327" t="s">
        <v>613</v>
      </c>
      <c r="F10" s="328">
        <v>788.51700000000005</v>
      </c>
      <c r="G10" s="328">
        <v>98.84</v>
      </c>
      <c r="H10" s="328">
        <v>601.80100000000004</v>
      </c>
      <c r="I10" s="328">
        <v>574.40300000000002</v>
      </c>
      <c r="J10" s="329">
        <v>334</v>
      </c>
    </row>
    <row r="11" spans="2:179" x14ac:dyDescent="0.25">
      <c r="B11" s="327" t="s">
        <v>579</v>
      </c>
      <c r="C11" s="327" t="s">
        <v>620</v>
      </c>
      <c r="D11" s="327" t="s">
        <v>605</v>
      </c>
      <c r="E11" s="327" t="s">
        <v>619</v>
      </c>
      <c r="F11" s="328">
        <v>493.11700000000002</v>
      </c>
      <c r="G11" s="328">
        <v>56.097999999999999</v>
      </c>
      <c r="H11" s="328">
        <v>244.19399999999999</v>
      </c>
      <c r="I11" s="328">
        <v>382.13099999999997</v>
      </c>
      <c r="J11" s="329">
        <v>153</v>
      </c>
    </row>
    <row r="12" spans="2:179" ht="15" customHeight="1" x14ac:dyDescent="0.25">
      <c r="B12" s="330" t="s">
        <v>590</v>
      </c>
      <c r="C12" s="330" t="s">
        <v>620</v>
      </c>
      <c r="D12" s="330" t="s">
        <v>616</v>
      </c>
      <c r="E12" s="330" t="s">
        <v>614</v>
      </c>
      <c r="F12" s="331">
        <v>329.053</v>
      </c>
      <c r="G12" s="331">
        <v>30.196999999999999</v>
      </c>
      <c r="H12" s="331">
        <v>175.71299999999999</v>
      </c>
      <c r="I12" s="331">
        <v>266.48099999999999</v>
      </c>
      <c r="J12" s="332">
        <v>204</v>
      </c>
    </row>
    <row r="13" spans="2:179" ht="15" customHeight="1" thickBot="1" x14ac:dyDescent="0.3">
      <c r="B13" s="333"/>
      <c r="C13" s="334"/>
      <c r="D13" s="335"/>
      <c r="E13" s="336" t="s">
        <v>30</v>
      </c>
      <c r="F13" s="336">
        <f>SUM(F5:F12)</f>
        <v>10030.576999999999</v>
      </c>
      <c r="G13" s="336">
        <f t="shared" ref="G13:I13" si="0">SUM(G5:G12)</f>
        <v>1306.0589999999997</v>
      </c>
      <c r="H13" s="336">
        <f t="shared" si="0"/>
        <v>6056.5430000000006</v>
      </c>
      <c r="I13" s="336">
        <f t="shared" si="0"/>
        <v>7740.107</v>
      </c>
      <c r="J13" s="500">
        <f>SUM(J5:J12)</f>
        <v>3021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4" orientation="landscape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1:HV48"/>
  <sheetViews>
    <sheetView showGridLines="0" zoomScaleNormal="100" workbookViewId="0">
      <selection activeCell="A2" sqref="A2"/>
    </sheetView>
  </sheetViews>
  <sheetFormatPr defaultColWidth="9.109375" defaultRowHeight="12" x14ac:dyDescent="0.25"/>
  <cols>
    <col min="1" max="1" width="53.33203125" style="3" bestFit="1" customWidth="1"/>
    <col min="2" max="2" width="7.5546875" style="3" customWidth="1"/>
    <col min="3" max="3" width="4.88671875" style="3" customWidth="1"/>
    <col min="4" max="4" width="7.5546875" style="3" customWidth="1"/>
    <col min="5" max="5" width="4.88671875" style="3" customWidth="1"/>
    <col min="6" max="6" width="7.5546875" style="3" customWidth="1"/>
    <col min="7" max="7" width="4.88671875" style="3" customWidth="1"/>
    <col min="8" max="8" width="7.33203125" style="3" bestFit="1" customWidth="1"/>
    <col min="9" max="16384" width="9.109375" style="3"/>
  </cols>
  <sheetData>
    <row r="1" spans="1:230" ht="14.4" x14ac:dyDescent="0.3"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230" ht="15" thickBot="1" x14ac:dyDescent="0.35">
      <c r="A2" s="48" t="s">
        <v>511</v>
      </c>
      <c r="B2" s="48"/>
      <c r="C2" s="48"/>
      <c r="D2" s="48"/>
      <c r="E2" s="48"/>
      <c r="F2" s="48"/>
      <c r="G2" s="48"/>
      <c r="H2" s="51" t="s">
        <v>512</v>
      </c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230" ht="18.600000000000001" customHeight="1" x14ac:dyDescent="0.3">
      <c r="A3" s="559"/>
      <c r="B3" s="560" t="s">
        <v>561</v>
      </c>
      <c r="C3" s="584" t="s">
        <v>3</v>
      </c>
      <c r="D3" s="560" t="s">
        <v>562</v>
      </c>
      <c r="E3" s="584" t="s">
        <v>3</v>
      </c>
      <c r="F3" s="560" t="s">
        <v>588</v>
      </c>
      <c r="G3" s="584" t="s">
        <v>3</v>
      </c>
      <c r="H3" s="561" t="s">
        <v>9</v>
      </c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  <c r="AM3" s="562"/>
      <c r="AN3" s="562"/>
      <c r="AO3" s="562"/>
      <c r="AP3" s="562"/>
      <c r="AQ3" s="562"/>
      <c r="AR3" s="562"/>
      <c r="AS3" s="562"/>
      <c r="AT3" s="562"/>
      <c r="AU3" s="562"/>
      <c r="AV3" s="562"/>
      <c r="AW3" s="562"/>
      <c r="AX3" s="562"/>
      <c r="AY3" s="562"/>
      <c r="AZ3" s="562"/>
      <c r="BA3" s="562"/>
      <c r="BB3" s="562"/>
      <c r="BC3" s="562"/>
      <c r="BD3" s="562"/>
      <c r="BE3" s="562"/>
      <c r="BF3" s="562"/>
      <c r="BG3" s="562"/>
      <c r="BH3" s="562"/>
      <c r="BI3" s="562"/>
      <c r="BJ3" s="562"/>
      <c r="BK3" s="562"/>
      <c r="BL3" s="562"/>
      <c r="BM3" s="562"/>
      <c r="BN3" s="562"/>
      <c r="BO3" s="562"/>
      <c r="BP3" s="562"/>
      <c r="BQ3" s="562"/>
      <c r="BR3" s="562"/>
      <c r="BS3" s="562"/>
      <c r="BT3" s="562"/>
      <c r="BU3" s="562"/>
      <c r="BV3" s="562"/>
      <c r="BW3" s="562"/>
      <c r="BX3" s="562"/>
      <c r="BY3" s="562"/>
      <c r="BZ3" s="562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 s="562"/>
      <c r="FX3" s="562"/>
      <c r="FY3" s="562"/>
      <c r="FZ3" s="562"/>
      <c r="GA3" s="562"/>
      <c r="GB3" s="562"/>
      <c r="GC3" s="562"/>
      <c r="GD3" s="562"/>
      <c r="GE3" s="562"/>
      <c r="GF3" s="562"/>
      <c r="GG3" s="562"/>
      <c r="GH3" s="562"/>
      <c r="GI3" s="562"/>
      <c r="GJ3" s="562"/>
      <c r="GK3" s="562"/>
      <c r="GL3" s="562"/>
      <c r="GM3" s="562"/>
      <c r="GN3" s="562"/>
      <c r="GO3" s="562"/>
      <c r="GP3" s="562"/>
      <c r="GQ3" s="562"/>
      <c r="GR3" s="562"/>
      <c r="GS3" s="562"/>
      <c r="GT3" s="562"/>
      <c r="GU3" s="562"/>
      <c r="GV3" s="562"/>
      <c r="GW3" s="562"/>
      <c r="GX3" s="562"/>
      <c r="GY3" s="562"/>
      <c r="GZ3" s="562"/>
      <c r="HA3" s="562"/>
      <c r="HB3" s="562"/>
      <c r="HC3" s="562"/>
      <c r="HD3" s="562"/>
      <c r="HE3" s="562"/>
      <c r="HF3" s="562"/>
      <c r="HG3" s="562"/>
      <c r="HH3" s="562"/>
      <c r="HI3" s="562"/>
      <c r="HJ3" s="562"/>
      <c r="HK3" s="562"/>
      <c r="HL3" s="562"/>
      <c r="HM3" s="562"/>
      <c r="HN3" s="562"/>
      <c r="HO3" s="562"/>
      <c r="HP3" s="562"/>
      <c r="HQ3" s="562"/>
      <c r="HR3" s="562"/>
      <c r="HS3" s="562"/>
      <c r="HT3" s="562"/>
      <c r="HU3" s="562"/>
      <c r="HV3" s="562"/>
    </row>
    <row r="4" spans="1:230" ht="14.4" x14ac:dyDescent="0.3">
      <c r="A4" s="566" t="s">
        <v>471</v>
      </c>
      <c r="B4" s="569"/>
      <c r="C4" s="585"/>
      <c r="D4" s="569"/>
      <c r="E4" s="585"/>
      <c r="F4" s="569"/>
      <c r="G4" s="585"/>
      <c r="H4" s="570"/>
      <c r="I4" s="562"/>
      <c r="J4" s="562"/>
      <c r="K4" s="562"/>
      <c r="L4" s="562"/>
      <c r="M4" s="562"/>
      <c r="N4" s="562"/>
      <c r="O4" s="562"/>
      <c r="P4" s="562"/>
      <c r="Q4" s="562"/>
      <c r="R4" s="562"/>
      <c r="S4" s="562"/>
      <c r="T4" s="562"/>
      <c r="U4" s="562"/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  <c r="BP4" s="562"/>
      <c r="BQ4" s="562"/>
      <c r="BR4" s="562"/>
      <c r="BS4" s="562"/>
      <c r="BT4" s="562"/>
      <c r="BU4" s="562"/>
      <c r="BV4" s="562"/>
      <c r="BW4" s="562"/>
      <c r="BX4" s="562"/>
      <c r="BY4" s="562"/>
      <c r="BZ4" s="562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 s="562"/>
      <c r="FX4" s="562"/>
      <c r="FY4" s="562"/>
      <c r="FZ4" s="562"/>
      <c r="GA4" s="562"/>
      <c r="GB4" s="562"/>
      <c r="GC4" s="562"/>
      <c r="GD4" s="562"/>
      <c r="GE4" s="562"/>
      <c r="GF4" s="562"/>
      <c r="GG4" s="562"/>
      <c r="GH4" s="562"/>
      <c r="GI4" s="562"/>
      <c r="GJ4" s="562"/>
      <c r="GK4" s="562"/>
      <c r="GL4" s="562"/>
      <c r="GM4" s="562"/>
      <c r="GN4" s="562"/>
      <c r="GO4" s="562"/>
      <c r="GP4" s="562"/>
      <c r="GQ4" s="562"/>
      <c r="GR4" s="562"/>
      <c r="GS4" s="562"/>
      <c r="GT4" s="562"/>
      <c r="GU4" s="562"/>
      <c r="GV4" s="562"/>
      <c r="GW4" s="562"/>
      <c r="GX4" s="562"/>
      <c r="GY4" s="562"/>
      <c r="GZ4" s="562"/>
      <c r="HA4" s="562"/>
      <c r="HB4" s="562"/>
      <c r="HC4" s="562"/>
      <c r="HD4" s="562"/>
      <c r="HE4" s="562"/>
      <c r="HF4" s="562"/>
      <c r="HG4" s="562"/>
      <c r="HH4" s="562"/>
      <c r="HI4" s="562"/>
      <c r="HJ4" s="562"/>
      <c r="HK4" s="562"/>
      <c r="HL4" s="562"/>
      <c r="HM4" s="562"/>
      <c r="HN4" s="562"/>
      <c r="HO4" s="562"/>
      <c r="HP4" s="562"/>
      <c r="HQ4" s="562"/>
      <c r="HR4" s="562"/>
      <c r="HS4" s="562"/>
      <c r="HT4" s="562"/>
      <c r="HU4" s="562"/>
      <c r="HV4" s="562"/>
    </row>
    <row r="5" spans="1:230" ht="14.4" x14ac:dyDescent="0.3">
      <c r="A5" s="163" t="s">
        <v>103</v>
      </c>
      <c r="B5" s="563"/>
      <c r="C5" s="586"/>
      <c r="D5" s="563"/>
      <c r="E5" s="586"/>
      <c r="F5" s="563"/>
      <c r="G5" s="586"/>
      <c r="H5" s="564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62"/>
      <c r="AC5" s="562"/>
      <c r="AD5" s="562"/>
      <c r="AE5" s="562"/>
      <c r="AF5" s="562"/>
      <c r="AG5" s="562"/>
      <c r="AH5" s="562"/>
      <c r="AI5" s="562"/>
      <c r="AJ5" s="562"/>
      <c r="AK5" s="562"/>
      <c r="AL5" s="562"/>
      <c r="AM5" s="562"/>
      <c r="AN5" s="562"/>
      <c r="AO5" s="562"/>
      <c r="AP5" s="562"/>
      <c r="AQ5" s="562"/>
      <c r="AR5" s="562"/>
      <c r="AS5" s="562"/>
      <c r="AT5" s="562"/>
      <c r="AU5" s="562"/>
      <c r="AV5" s="562"/>
      <c r="AW5" s="562"/>
      <c r="AX5" s="562"/>
      <c r="AY5" s="562"/>
      <c r="AZ5" s="562"/>
      <c r="BA5" s="562"/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2"/>
      <c r="BM5" s="562"/>
      <c r="BN5" s="562"/>
      <c r="BO5" s="562"/>
      <c r="BP5" s="562"/>
      <c r="BQ5" s="562"/>
      <c r="BR5" s="562"/>
      <c r="BS5" s="562"/>
      <c r="BT5" s="562"/>
      <c r="BU5" s="562"/>
      <c r="BV5" s="562"/>
      <c r="BW5" s="562"/>
      <c r="BX5" s="562"/>
      <c r="BY5" s="562"/>
      <c r="BZ5" s="562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 s="562"/>
      <c r="FX5" s="562"/>
      <c r="FY5" s="562"/>
      <c r="FZ5" s="562"/>
      <c r="GA5" s="562"/>
      <c r="GB5" s="562"/>
      <c r="GC5" s="562"/>
      <c r="GD5" s="562"/>
      <c r="GE5" s="562"/>
      <c r="GF5" s="562"/>
      <c r="GG5" s="562"/>
      <c r="GH5" s="562"/>
      <c r="GI5" s="562"/>
      <c r="GJ5" s="562"/>
      <c r="GK5" s="562"/>
      <c r="GL5" s="562"/>
      <c r="GM5" s="562"/>
      <c r="GN5" s="562"/>
      <c r="GO5" s="562"/>
      <c r="GP5" s="562"/>
      <c r="GQ5" s="562"/>
      <c r="GR5" s="562"/>
      <c r="GS5" s="562"/>
      <c r="GT5" s="562"/>
      <c r="GU5" s="562"/>
      <c r="GV5" s="562"/>
      <c r="GW5" s="562"/>
      <c r="GX5" s="562"/>
      <c r="GY5" s="562"/>
      <c r="GZ5" s="562"/>
      <c r="HA5" s="562"/>
      <c r="HB5" s="562"/>
      <c r="HC5" s="562"/>
      <c r="HD5" s="562"/>
      <c r="HE5" s="562"/>
      <c r="HF5" s="562"/>
      <c r="HG5" s="562"/>
      <c r="HH5" s="562"/>
      <c r="HI5" s="562"/>
      <c r="HJ5" s="562"/>
      <c r="HK5" s="562"/>
      <c r="HL5" s="562"/>
      <c r="HM5" s="562"/>
      <c r="HN5" s="562"/>
      <c r="HO5" s="562"/>
      <c r="HP5" s="562"/>
      <c r="HQ5" s="562"/>
      <c r="HR5" s="562"/>
      <c r="HS5" s="562"/>
      <c r="HT5" s="562"/>
      <c r="HU5" s="562"/>
      <c r="HV5" s="562"/>
    </row>
    <row r="6" spans="1:230" ht="14.4" x14ac:dyDescent="0.3">
      <c r="A6" s="163" t="s">
        <v>210</v>
      </c>
      <c r="B6" s="565">
        <v>0.22</v>
      </c>
      <c r="C6" s="587">
        <f>IF(B$13&lt;&gt;0,B6*100/B$13,"-")</f>
        <v>7.1387083480704397E-2</v>
      </c>
      <c r="D6" s="565">
        <v>1.1359999999999999</v>
      </c>
      <c r="E6" s="587">
        <f>IF(D$13&lt;&gt;0,D6*100/D$13,"-")</f>
        <v>0.34470621078056535</v>
      </c>
      <c r="F6" s="565">
        <v>14.688000000000001</v>
      </c>
      <c r="G6" s="587">
        <f>IF(F$13&lt;&gt;0,F6*100/F$13,"-")</f>
        <v>3.5874264220990151</v>
      </c>
      <c r="H6" s="564">
        <f>IF(D6&lt;&gt;0,F6*100/D6,"-")</f>
        <v>1292.9577464788733</v>
      </c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62"/>
      <c r="AC6" s="562"/>
      <c r="AD6" s="562"/>
      <c r="AE6" s="562"/>
      <c r="AF6" s="562"/>
      <c r="AG6" s="562"/>
      <c r="AH6" s="562"/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2"/>
      <c r="AW6" s="562"/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562"/>
      <c r="BM6" s="562"/>
      <c r="BN6" s="562"/>
      <c r="BO6" s="562"/>
      <c r="BP6" s="562"/>
      <c r="BQ6" s="562"/>
      <c r="BR6" s="562"/>
      <c r="BS6" s="562"/>
      <c r="BT6" s="562"/>
      <c r="BU6" s="562"/>
      <c r="BV6" s="562"/>
      <c r="BW6" s="562"/>
      <c r="BX6" s="562"/>
      <c r="BY6" s="562"/>
      <c r="BZ6" s="562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 s="562"/>
      <c r="FX6" s="562"/>
      <c r="FY6" s="562"/>
      <c r="FZ6" s="562"/>
      <c r="GA6" s="562"/>
      <c r="GB6" s="562"/>
      <c r="GC6" s="562"/>
      <c r="GD6" s="562"/>
      <c r="GE6" s="562"/>
      <c r="GF6" s="562"/>
      <c r="GG6" s="562"/>
      <c r="GH6" s="562"/>
      <c r="GI6" s="562"/>
      <c r="GJ6" s="562"/>
      <c r="GK6" s="562"/>
      <c r="GL6" s="562"/>
      <c r="GM6" s="562"/>
      <c r="GN6" s="562"/>
      <c r="GO6" s="562"/>
      <c r="GP6" s="562"/>
      <c r="GQ6" s="562"/>
      <c r="GR6" s="562"/>
      <c r="GS6" s="562"/>
      <c r="GT6" s="562"/>
      <c r="GU6" s="562"/>
      <c r="GV6" s="562"/>
      <c r="GW6" s="562"/>
      <c r="GX6" s="562"/>
      <c r="GY6" s="562"/>
      <c r="GZ6" s="562"/>
      <c r="HA6" s="562"/>
      <c r="HB6" s="562"/>
      <c r="HC6" s="562"/>
      <c r="HD6" s="562"/>
      <c r="HE6" s="562"/>
      <c r="HF6" s="562"/>
      <c r="HG6" s="562"/>
      <c r="HH6" s="562"/>
      <c r="HI6" s="562"/>
      <c r="HJ6" s="562"/>
      <c r="HK6" s="562"/>
      <c r="HL6" s="562"/>
      <c r="HM6" s="562"/>
      <c r="HN6" s="562"/>
      <c r="HO6" s="562"/>
      <c r="HP6" s="562"/>
      <c r="HQ6" s="562"/>
      <c r="HR6" s="562"/>
      <c r="HS6" s="562"/>
      <c r="HT6" s="562"/>
      <c r="HU6" s="562"/>
      <c r="HV6" s="562"/>
    </row>
    <row r="7" spans="1:230" ht="14.4" x14ac:dyDescent="0.3">
      <c r="A7" s="163" t="s">
        <v>472</v>
      </c>
      <c r="B7" s="565">
        <v>7.0000000000000001E-3</v>
      </c>
      <c r="C7" s="587">
        <f t="shared" ref="C7:E12" si="0">IF(B$13&lt;&gt;0,B7*100/B$13,"-")</f>
        <v>2.2714072016587765E-3</v>
      </c>
      <c r="D7" s="565">
        <v>0.253</v>
      </c>
      <c r="E7" s="587">
        <f t="shared" si="0"/>
        <v>7.6769957154474516E-2</v>
      </c>
      <c r="F7" s="565">
        <v>3.2269999999999999</v>
      </c>
      <c r="G7" s="587">
        <f t="shared" ref="G7" si="1">IF(F$13&lt;&gt;0,F7*100/F$13,"-")</f>
        <v>0.78816891776372011</v>
      </c>
      <c r="H7" s="564">
        <f t="shared" ref="H7:H48" si="2">IF(D7&lt;&gt;0,F7*100/D7,"-")</f>
        <v>1275.494071146245</v>
      </c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2"/>
      <c r="AR7" s="562"/>
      <c r="AS7" s="562"/>
      <c r="AT7" s="562"/>
      <c r="AU7" s="562"/>
      <c r="AV7" s="562"/>
      <c r="AW7" s="562"/>
      <c r="AX7" s="562"/>
      <c r="AY7" s="562"/>
      <c r="AZ7" s="562"/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2"/>
      <c r="BQ7" s="562"/>
      <c r="BR7" s="562"/>
      <c r="BS7" s="562"/>
      <c r="BT7" s="562"/>
      <c r="BU7" s="562"/>
      <c r="BV7" s="562"/>
      <c r="BW7" s="562"/>
      <c r="BX7" s="562"/>
      <c r="BY7" s="562"/>
      <c r="BZ7" s="562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 s="562"/>
      <c r="FX7" s="562"/>
      <c r="FY7" s="562"/>
      <c r="FZ7" s="562"/>
      <c r="GA7" s="562"/>
      <c r="GB7" s="562"/>
      <c r="GC7" s="562"/>
      <c r="GD7" s="562"/>
      <c r="GE7" s="562"/>
      <c r="GF7" s="562"/>
      <c r="GG7" s="562"/>
      <c r="GH7" s="562"/>
      <c r="GI7" s="562"/>
      <c r="GJ7" s="562"/>
      <c r="GK7" s="562"/>
      <c r="GL7" s="562"/>
      <c r="GM7" s="562"/>
      <c r="GN7" s="562"/>
      <c r="GO7" s="562"/>
      <c r="GP7" s="562"/>
      <c r="GQ7" s="562"/>
      <c r="GR7" s="562"/>
      <c r="GS7" s="562"/>
      <c r="GT7" s="562"/>
      <c r="GU7" s="562"/>
      <c r="GV7" s="562"/>
      <c r="GW7" s="562"/>
      <c r="GX7" s="562"/>
      <c r="GY7" s="562"/>
      <c r="GZ7" s="562"/>
      <c r="HA7" s="562"/>
      <c r="HB7" s="562"/>
      <c r="HC7" s="562"/>
      <c r="HD7" s="562"/>
      <c r="HE7" s="562"/>
      <c r="HF7" s="562"/>
      <c r="HG7" s="562"/>
      <c r="HH7" s="562"/>
      <c r="HI7" s="562"/>
      <c r="HJ7" s="562"/>
      <c r="HK7" s="562"/>
      <c r="HL7" s="562"/>
      <c r="HM7" s="562"/>
      <c r="HN7" s="562"/>
      <c r="HO7" s="562"/>
      <c r="HP7" s="562"/>
      <c r="HQ7" s="562"/>
      <c r="HR7" s="562"/>
      <c r="HS7" s="562"/>
      <c r="HT7" s="562"/>
      <c r="HU7" s="562"/>
      <c r="HV7" s="562"/>
    </row>
    <row r="8" spans="1:230" ht="14.4" x14ac:dyDescent="0.3">
      <c r="A8" s="163" t="s">
        <v>473</v>
      </c>
      <c r="B8" s="565">
        <v>259.00099999999998</v>
      </c>
      <c r="C8" s="587">
        <f t="shared" si="0"/>
        <v>84.042390948117813</v>
      </c>
      <c r="D8" s="565">
        <v>274.98899999999998</v>
      </c>
      <c r="E8" s="587">
        <f t="shared" si="0"/>
        <v>83.442267778465563</v>
      </c>
      <c r="F8" s="565">
        <v>324.04700000000003</v>
      </c>
      <c r="G8" s="587">
        <f t="shared" ref="G8" si="3">IF(F$13&lt;&gt;0,F8*100/F$13,"-")</f>
        <v>79.145885743594746</v>
      </c>
      <c r="H8" s="564">
        <f t="shared" si="2"/>
        <v>117.83998632672582</v>
      </c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2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 s="562"/>
      <c r="FX8" s="562"/>
      <c r="FY8" s="562"/>
      <c r="FZ8" s="562"/>
      <c r="GA8" s="562"/>
      <c r="GB8" s="562"/>
      <c r="GC8" s="562"/>
      <c r="GD8" s="562"/>
      <c r="GE8" s="562"/>
      <c r="GF8" s="562"/>
      <c r="GG8" s="562"/>
      <c r="GH8" s="562"/>
      <c r="GI8" s="562"/>
      <c r="GJ8" s="562"/>
      <c r="GK8" s="562"/>
      <c r="GL8" s="562"/>
      <c r="GM8" s="562"/>
      <c r="GN8" s="562"/>
      <c r="GO8" s="562"/>
      <c r="GP8" s="562"/>
      <c r="GQ8" s="562"/>
      <c r="GR8" s="562"/>
      <c r="GS8" s="562"/>
      <c r="GT8" s="562"/>
      <c r="GU8" s="562"/>
      <c r="GV8" s="562"/>
      <c r="GW8" s="562"/>
      <c r="GX8" s="562"/>
      <c r="GY8" s="562"/>
      <c r="GZ8" s="562"/>
      <c r="HA8" s="562"/>
      <c r="HB8" s="562"/>
      <c r="HC8" s="562"/>
      <c r="HD8" s="562"/>
      <c r="HE8" s="562"/>
      <c r="HF8" s="562"/>
      <c r="HG8" s="562"/>
      <c r="HH8" s="562"/>
      <c r="HI8" s="562"/>
      <c r="HJ8" s="562"/>
      <c r="HK8" s="562"/>
      <c r="HL8" s="562"/>
      <c r="HM8" s="562"/>
      <c r="HN8" s="562"/>
      <c r="HO8" s="562"/>
      <c r="HP8" s="562"/>
      <c r="HQ8" s="562"/>
      <c r="HR8" s="562"/>
      <c r="HS8" s="562"/>
      <c r="HT8" s="562"/>
      <c r="HU8" s="562"/>
      <c r="HV8" s="562"/>
    </row>
    <row r="9" spans="1:230" ht="14.4" x14ac:dyDescent="0.3">
      <c r="A9" s="163" t="s">
        <v>474</v>
      </c>
      <c r="B9" s="565">
        <v>24.192</v>
      </c>
      <c r="C9" s="587">
        <f t="shared" si="0"/>
        <v>7.849983288932731</v>
      </c>
      <c r="D9" s="565">
        <v>24.952999999999999</v>
      </c>
      <c r="E9" s="587">
        <f t="shared" si="0"/>
        <v>7.5717025331051468</v>
      </c>
      <c r="F9" s="565">
        <v>36.771000000000001</v>
      </c>
      <c r="G9" s="587">
        <f t="shared" ref="G9" si="4">IF(F$13&lt;&gt;0,F9*100/F$13,"-")</f>
        <v>8.9810223969909373</v>
      </c>
      <c r="H9" s="564">
        <f t="shared" si="2"/>
        <v>147.36103875285536</v>
      </c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62"/>
      <c r="AC9" s="562"/>
      <c r="AD9" s="562"/>
      <c r="AE9" s="562"/>
      <c r="AF9" s="562"/>
      <c r="AG9" s="562"/>
      <c r="AH9" s="562"/>
      <c r="AI9" s="562"/>
      <c r="AJ9" s="562"/>
      <c r="AK9" s="562"/>
      <c r="AL9" s="562"/>
      <c r="AM9" s="562"/>
      <c r="AN9" s="562"/>
      <c r="AO9" s="562"/>
      <c r="AP9" s="562"/>
      <c r="AQ9" s="562"/>
      <c r="AR9" s="562"/>
      <c r="AS9" s="562"/>
      <c r="AT9" s="562"/>
      <c r="AU9" s="562"/>
      <c r="AV9" s="562"/>
      <c r="AW9" s="562"/>
      <c r="AX9" s="562"/>
      <c r="AY9" s="562"/>
      <c r="AZ9" s="562"/>
      <c r="BA9" s="562"/>
      <c r="BB9" s="562"/>
      <c r="BC9" s="562"/>
      <c r="BD9" s="562"/>
      <c r="BE9" s="562"/>
      <c r="BF9" s="562"/>
      <c r="BG9" s="562"/>
      <c r="BH9" s="562"/>
      <c r="BI9" s="562"/>
      <c r="BJ9" s="562"/>
      <c r="BK9" s="562"/>
      <c r="BL9" s="562"/>
      <c r="BM9" s="562"/>
      <c r="BN9" s="562"/>
      <c r="BO9" s="562"/>
      <c r="BP9" s="562"/>
      <c r="BQ9" s="562"/>
      <c r="BR9" s="562"/>
      <c r="BS9" s="562"/>
      <c r="BT9" s="562"/>
      <c r="BU9" s="562"/>
      <c r="BV9" s="562"/>
      <c r="BW9" s="562"/>
      <c r="BX9" s="562"/>
      <c r="BY9" s="562"/>
      <c r="BZ9" s="562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 s="562"/>
      <c r="FX9" s="562"/>
      <c r="FY9" s="562"/>
      <c r="FZ9" s="562"/>
      <c r="GA9" s="562"/>
      <c r="GB9" s="562"/>
      <c r="GC9" s="562"/>
      <c r="GD9" s="562"/>
      <c r="GE9" s="562"/>
      <c r="GF9" s="562"/>
      <c r="GG9" s="562"/>
      <c r="GH9" s="562"/>
      <c r="GI9" s="562"/>
      <c r="GJ9" s="562"/>
      <c r="GK9" s="562"/>
      <c r="GL9" s="562"/>
      <c r="GM9" s="562"/>
      <c r="GN9" s="562"/>
      <c r="GO9" s="562"/>
      <c r="GP9" s="562"/>
      <c r="GQ9" s="562"/>
      <c r="GR9" s="562"/>
      <c r="GS9" s="562"/>
      <c r="GT9" s="562"/>
      <c r="GU9" s="562"/>
      <c r="GV9" s="562"/>
      <c r="GW9" s="562"/>
      <c r="GX9" s="562"/>
      <c r="GY9" s="562"/>
      <c r="GZ9" s="562"/>
      <c r="HA9" s="562"/>
      <c r="HB9" s="562"/>
      <c r="HC9" s="562"/>
      <c r="HD9" s="562"/>
      <c r="HE9" s="562"/>
      <c r="HF9" s="562"/>
      <c r="HG9" s="562"/>
      <c r="HH9" s="562"/>
      <c r="HI9" s="562"/>
      <c r="HJ9" s="562"/>
      <c r="HK9" s="562"/>
      <c r="HL9" s="562"/>
      <c r="HM9" s="562"/>
      <c r="HN9" s="562"/>
      <c r="HO9" s="562"/>
      <c r="HP9" s="562"/>
      <c r="HQ9" s="562"/>
      <c r="HR9" s="562"/>
      <c r="HS9" s="562"/>
      <c r="HT9" s="562"/>
      <c r="HU9" s="562"/>
      <c r="HV9" s="562"/>
    </row>
    <row r="10" spans="1:230" ht="14.4" x14ac:dyDescent="0.3">
      <c r="A10" s="163" t="s">
        <v>475</v>
      </c>
      <c r="B10" s="565">
        <v>0</v>
      </c>
      <c r="C10" s="587">
        <f t="shared" si="0"/>
        <v>0</v>
      </c>
      <c r="D10" s="565">
        <v>0</v>
      </c>
      <c r="E10" s="587">
        <f t="shared" si="0"/>
        <v>0</v>
      </c>
      <c r="F10" s="565">
        <v>0</v>
      </c>
      <c r="G10" s="587">
        <f t="shared" ref="G10" si="5">IF(F$13&lt;&gt;0,F10*100/F$13,"-")</f>
        <v>0</v>
      </c>
      <c r="H10" s="564" t="str">
        <f t="shared" si="2"/>
        <v>-</v>
      </c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562"/>
      <c r="AQ10" s="562"/>
      <c r="AR10" s="562"/>
      <c r="AS10" s="562"/>
      <c r="AT10" s="562"/>
      <c r="AU10" s="562"/>
      <c r="AV10" s="562"/>
      <c r="AW10" s="562"/>
      <c r="AX10" s="562"/>
      <c r="AY10" s="562"/>
      <c r="AZ10" s="562"/>
      <c r="BA10" s="562"/>
      <c r="BB10" s="562"/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562"/>
      <c r="BO10" s="562"/>
      <c r="BP10" s="562"/>
      <c r="BQ10" s="562"/>
      <c r="BR10" s="562"/>
      <c r="BS10" s="562"/>
      <c r="BT10" s="562"/>
      <c r="BU10" s="562"/>
      <c r="BV10" s="562"/>
      <c r="BW10" s="562"/>
      <c r="BX10" s="562"/>
      <c r="BY10" s="562"/>
      <c r="BZ10" s="562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 s="562"/>
      <c r="FX10" s="562"/>
      <c r="FY10" s="562"/>
      <c r="FZ10" s="562"/>
      <c r="GA10" s="562"/>
      <c r="GB10" s="562"/>
      <c r="GC10" s="562"/>
      <c r="GD10" s="562"/>
      <c r="GE10" s="562"/>
      <c r="GF10" s="562"/>
      <c r="GG10" s="562"/>
      <c r="GH10" s="562"/>
      <c r="GI10" s="562"/>
      <c r="GJ10" s="562"/>
      <c r="GK10" s="562"/>
      <c r="GL10" s="562"/>
      <c r="GM10" s="562"/>
      <c r="GN10" s="562"/>
      <c r="GO10" s="562"/>
      <c r="GP10" s="562"/>
      <c r="GQ10" s="562"/>
      <c r="GR10" s="562"/>
      <c r="GS10" s="562"/>
      <c r="GT10" s="562"/>
      <c r="GU10" s="562"/>
      <c r="GV10" s="562"/>
      <c r="GW10" s="562"/>
      <c r="GX10" s="562"/>
      <c r="GY10" s="562"/>
      <c r="GZ10" s="562"/>
      <c r="HA10" s="562"/>
      <c r="HB10" s="562"/>
      <c r="HC10" s="562"/>
      <c r="HD10" s="562"/>
      <c r="HE10" s="562"/>
      <c r="HF10" s="562"/>
      <c r="HG10" s="562"/>
      <c r="HH10" s="562"/>
      <c r="HI10" s="562"/>
      <c r="HJ10" s="562"/>
      <c r="HK10" s="562"/>
      <c r="HL10" s="562"/>
      <c r="HM10" s="562"/>
      <c r="HN10" s="562"/>
      <c r="HO10" s="562"/>
      <c r="HP10" s="562"/>
      <c r="HQ10" s="562"/>
      <c r="HR10" s="562"/>
      <c r="HS10" s="562"/>
      <c r="HT10" s="562"/>
      <c r="HU10" s="562"/>
      <c r="HV10" s="562"/>
    </row>
    <row r="11" spans="1:230" ht="14.4" x14ac:dyDescent="0.3">
      <c r="A11" s="163" t="s">
        <v>476</v>
      </c>
      <c r="B11" s="565">
        <v>6.5000000000000002E-2</v>
      </c>
      <c r="C11" s="587">
        <f t="shared" si="0"/>
        <v>2.109163830111721E-2</v>
      </c>
      <c r="D11" s="565">
        <v>8.8999999999999996E-2</v>
      </c>
      <c r="E11" s="587">
        <f t="shared" si="0"/>
        <v>2.7006032358688661E-2</v>
      </c>
      <c r="F11" s="565">
        <v>7.6999999999999999E-2</v>
      </c>
      <c r="G11" s="587">
        <f t="shared" ref="G11" si="6">IF(F$13&lt;&gt;0,F11*100/F$13,"-")</f>
        <v>1.8806633612583345E-2</v>
      </c>
      <c r="H11" s="564">
        <f t="shared" si="2"/>
        <v>86.516853932584269</v>
      </c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  <c r="BX11" s="562"/>
      <c r="BY11" s="562"/>
      <c r="BZ11" s="562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 s="562"/>
      <c r="FX11" s="562"/>
      <c r="FY11" s="562"/>
      <c r="FZ11" s="562"/>
      <c r="GA11" s="562"/>
      <c r="GB11" s="562"/>
      <c r="GC11" s="562"/>
      <c r="GD11" s="562"/>
      <c r="GE11" s="562"/>
      <c r="GF11" s="562"/>
      <c r="GG11" s="562"/>
      <c r="GH11" s="562"/>
      <c r="GI11" s="562"/>
      <c r="GJ11" s="562"/>
      <c r="GK11" s="562"/>
      <c r="GL11" s="562"/>
      <c r="GM11" s="562"/>
      <c r="GN11" s="562"/>
      <c r="GO11" s="562"/>
      <c r="GP11" s="562"/>
      <c r="GQ11" s="562"/>
      <c r="GR11" s="562"/>
      <c r="GS11" s="562"/>
      <c r="GT11" s="562"/>
      <c r="GU11" s="562"/>
      <c r="GV11" s="562"/>
      <c r="GW11" s="562"/>
      <c r="GX11" s="562"/>
      <c r="GY11" s="562"/>
      <c r="GZ11" s="562"/>
      <c r="HA11" s="562"/>
      <c r="HB11" s="562"/>
      <c r="HC11" s="562"/>
      <c r="HD11" s="562"/>
      <c r="HE11" s="562"/>
      <c r="HF11" s="562"/>
      <c r="HG11" s="562"/>
      <c r="HH11" s="562"/>
      <c r="HI11" s="562"/>
      <c r="HJ11" s="562"/>
      <c r="HK11" s="562"/>
      <c r="HL11" s="562"/>
      <c r="HM11" s="562"/>
      <c r="HN11" s="562"/>
      <c r="HO11" s="562"/>
      <c r="HP11" s="562"/>
      <c r="HQ11" s="562"/>
      <c r="HR11" s="562"/>
      <c r="HS11" s="562"/>
      <c r="HT11" s="562"/>
      <c r="HU11" s="562"/>
      <c r="HV11" s="562"/>
    </row>
    <row r="12" spans="1:230" ht="14.4" x14ac:dyDescent="0.3">
      <c r="A12" s="163" t="s">
        <v>477</v>
      </c>
      <c r="B12" s="565">
        <v>24.693999999999999</v>
      </c>
      <c r="C12" s="587">
        <f t="shared" si="0"/>
        <v>8.0128756339659759</v>
      </c>
      <c r="D12" s="565">
        <v>28.135999999999999</v>
      </c>
      <c r="E12" s="587">
        <f t="shared" si="0"/>
        <v>8.5375474881355515</v>
      </c>
      <c r="F12" s="565">
        <v>30.62</v>
      </c>
      <c r="G12" s="587">
        <f t="shared" ref="G12" si="7">IF(F$13&lt;&gt;0,F12*100/F$13,"-")</f>
        <v>7.4786898859389872</v>
      </c>
      <c r="H12" s="564">
        <f t="shared" si="2"/>
        <v>108.82854705715098</v>
      </c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2"/>
      <c r="AL12" s="562"/>
      <c r="AM12" s="562"/>
      <c r="AN12" s="562"/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62"/>
      <c r="BR12" s="562"/>
      <c r="BS12" s="562"/>
      <c r="BT12" s="562"/>
      <c r="BU12" s="562"/>
      <c r="BV12" s="562"/>
      <c r="BW12" s="562"/>
      <c r="BX12" s="562"/>
      <c r="BY12" s="562"/>
      <c r="BZ12" s="56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 s="562"/>
      <c r="FX12" s="562"/>
      <c r="FY12" s="562"/>
      <c r="FZ12" s="562"/>
      <c r="GA12" s="562"/>
      <c r="GB12" s="562"/>
      <c r="GC12" s="562"/>
      <c r="GD12" s="562"/>
      <c r="GE12" s="562"/>
      <c r="GF12" s="562"/>
      <c r="GG12" s="562"/>
      <c r="GH12" s="562"/>
      <c r="GI12" s="562"/>
      <c r="GJ12" s="562"/>
      <c r="GK12" s="562"/>
      <c r="GL12" s="562"/>
      <c r="GM12" s="562"/>
      <c r="GN12" s="562"/>
      <c r="GO12" s="562"/>
      <c r="GP12" s="562"/>
      <c r="GQ12" s="562"/>
      <c r="GR12" s="562"/>
      <c r="GS12" s="562"/>
      <c r="GT12" s="562"/>
      <c r="GU12" s="562"/>
      <c r="GV12" s="562"/>
      <c r="GW12" s="562"/>
      <c r="GX12" s="562"/>
      <c r="GY12" s="562"/>
      <c r="GZ12" s="562"/>
      <c r="HA12" s="562"/>
      <c r="HB12" s="562"/>
      <c r="HC12" s="562"/>
      <c r="HD12" s="562"/>
      <c r="HE12" s="562"/>
      <c r="HF12" s="562"/>
      <c r="HG12" s="562"/>
      <c r="HH12" s="562"/>
      <c r="HI12" s="562"/>
      <c r="HJ12" s="562"/>
      <c r="HK12" s="562"/>
      <c r="HL12" s="562"/>
      <c r="HM12" s="562"/>
      <c r="HN12" s="562"/>
      <c r="HO12" s="562"/>
      <c r="HP12" s="562"/>
      <c r="HQ12" s="562"/>
      <c r="HR12" s="562"/>
      <c r="HS12" s="562"/>
      <c r="HT12" s="562"/>
      <c r="HU12" s="562"/>
      <c r="HV12" s="562"/>
    </row>
    <row r="13" spans="1:230" ht="14.4" x14ac:dyDescent="0.3">
      <c r="A13" s="566" t="s">
        <v>478</v>
      </c>
      <c r="B13" s="567">
        <f t="shared" ref="B13:G13" si="8">SUM(B6:B12)</f>
        <v>308.17899999999997</v>
      </c>
      <c r="C13" s="588">
        <f t="shared" si="8"/>
        <v>100</v>
      </c>
      <c r="D13" s="567">
        <f t="shared" si="8"/>
        <v>329.55599999999998</v>
      </c>
      <c r="E13" s="588">
        <f t="shared" si="8"/>
        <v>100</v>
      </c>
      <c r="F13" s="567">
        <f t="shared" si="8"/>
        <v>409.43000000000006</v>
      </c>
      <c r="G13" s="588">
        <f t="shared" si="8"/>
        <v>100</v>
      </c>
      <c r="H13" s="564">
        <f t="shared" si="2"/>
        <v>124.2368520069427</v>
      </c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  <c r="T13" s="562"/>
      <c r="U13" s="562"/>
      <c r="V13" s="562"/>
      <c r="W13" s="562"/>
      <c r="X13" s="562"/>
      <c r="Y13" s="562"/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2"/>
      <c r="BI13" s="562"/>
      <c r="BJ13" s="562"/>
      <c r="BK13" s="562"/>
      <c r="BL13" s="562"/>
      <c r="BM13" s="562"/>
      <c r="BN13" s="562"/>
      <c r="BO13" s="562"/>
      <c r="BP13" s="562"/>
      <c r="BQ13" s="562"/>
      <c r="BR13" s="562"/>
      <c r="BS13" s="562"/>
      <c r="BT13" s="562"/>
      <c r="BU13" s="562"/>
      <c r="BV13" s="562"/>
      <c r="BW13" s="562"/>
      <c r="BX13" s="562"/>
      <c r="BY13" s="562"/>
      <c r="BZ13" s="562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 s="562"/>
      <c r="FX13" s="562"/>
      <c r="FY13" s="562"/>
      <c r="FZ13" s="562"/>
      <c r="GA13" s="562"/>
      <c r="GB13" s="562"/>
      <c r="GC13" s="562"/>
      <c r="GD13" s="562"/>
      <c r="GE13" s="562"/>
      <c r="GF13" s="562"/>
      <c r="GG13" s="562"/>
      <c r="GH13" s="562"/>
      <c r="GI13" s="562"/>
      <c r="GJ13" s="562"/>
      <c r="GK13" s="562"/>
      <c r="GL13" s="562"/>
      <c r="GM13" s="562"/>
      <c r="GN13" s="562"/>
      <c r="GO13" s="562"/>
      <c r="GP13" s="562"/>
      <c r="GQ13" s="562"/>
      <c r="GR13" s="562"/>
      <c r="GS13" s="562"/>
      <c r="GT13" s="562"/>
      <c r="GU13" s="562"/>
      <c r="GV13" s="562"/>
      <c r="GW13" s="562"/>
      <c r="GX13" s="562"/>
      <c r="GY13" s="562"/>
      <c r="GZ13" s="562"/>
      <c r="HA13" s="562"/>
      <c r="HB13" s="562"/>
      <c r="HC13" s="562"/>
      <c r="HD13" s="562"/>
      <c r="HE13" s="562"/>
      <c r="HF13" s="562"/>
      <c r="HG13" s="562"/>
      <c r="HH13" s="562"/>
      <c r="HI13" s="562"/>
      <c r="HJ13" s="562"/>
      <c r="HK13" s="562"/>
      <c r="HL13" s="562"/>
      <c r="HM13" s="562"/>
      <c r="HN13" s="562"/>
      <c r="HO13" s="562"/>
      <c r="HP13" s="562"/>
      <c r="HQ13" s="562"/>
      <c r="HR13" s="562"/>
      <c r="HS13" s="562"/>
      <c r="HT13" s="562"/>
      <c r="HU13" s="562"/>
      <c r="HV13" s="562"/>
    </row>
    <row r="14" spans="1:230" ht="14.4" x14ac:dyDescent="0.3">
      <c r="A14" s="163" t="s">
        <v>479</v>
      </c>
      <c r="B14" s="565"/>
      <c r="C14" s="589"/>
      <c r="D14" s="565"/>
      <c r="E14" s="589"/>
      <c r="F14" s="565"/>
      <c r="G14" s="589"/>
      <c r="H14" s="564" t="str">
        <f t="shared" si="2"/>
        <v>-</v>
      </c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2"/>
      <c r="AH14" s="562"/>
      <c r="AI14" s="562"/>
      <c r="AJ14" s="562"/>
      <c r="AK14" s="562"/>
      <c r="AL14" s="562"/>
      <c r="AM14" s="562"/>
      <c r="AN14" s="562"/>
      <c r="AO14" s="562"/>
      <c r="AP14" s="562"/>
      <c r="AQ14" s="562"/>
      <c r="AR14" s="562"/>
      <c r="AS14" s="562"/>
      <c r="AT14" s="562"/>
      <c r="AU14" s="562"/>
      <c r="AV14" s="562"/>
      <c r="AW14" s="562"/>
      <c r="AX14" s="562"/>
      <c r="AY14" s="562"/>
      <c r="AZ14" s="562"/>
      <c r="BA14" s="562"/>
      <c r="BB14" s="562"/>
      <c r="BC14" s="562"/>
      <c r="BD14" s="562"/>
      <c r="BE14" s="562"/>
      <c r="BF14" s="562"/>
      <c r="BG14" s="562"/>
      <c r="BH14" s="562"/>
      <c r="BI14" s="562"/>
      <c r="BJ14" s="562"/>
      <c r="BK14" s="562"/>
      <c r="BL14" s="562"/>
      <c r="BM14" s="562"/>
      <c r="BN14" s="562"/>
      <c r="BO14" s="562"/>
      <c r="BP14" s="562"/>
      <c r="BQ14" s="562"/>
      <c r="BR14" s="562"/>
      <c r="BS14" s="562"/>
      <c r="BT14" s="562"/>
      <c r="BU14" s="562"/>
      <c r="BV14" s="562"/>
      <c r="BW14" s="562"/>
      <c r="BX14" s="562"/>
      <c r="BY14" s="562"/>
      <c r="BZ14" s="562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 s="562"/>
      <c r="FX14" s="562"/>
      <c r="FY14" s="562"/>
      <c r="FZ14" s="562"/>
      <c r="GA14" s="562"/>
      <c r="GB14" s="562"/>
      <c r="GC14" s="562"/>
      <c r="GD14" s="562"/>
      <c r="GE14" s="562"/>
      <c r="GF14" s="562"/>
      <c r="GG14" s="562"/>
      <c r="GH14" s="562"/>
      <c r="GI14" s="562"/>
      <c r="GJ14" s="562"/>
      <c r="GK14" s="562"/>
      <c r="GL14" s="562"/>
      <c r="GM14" s="562"/>
      <c r="GN14" s="562"/>
      <c r="GO14" s="562"/>
      <c r="GP14" s="562"/>
      <c r="GQ14" s="562"/>
      <c r="GR14" s="562"/>
      <c r="GS14" s="562"/>
      <c r="GT14" s="562"/>
      <c r="GU14" s="562"/>
      <c r="GV14" s="562"/>
      <c r="GW14" s="562"/>
      <c r="GX14" s="562"/>
      <c r="GY14" s="562"/>
      <c r="GZ14" s="562"/>
      <c r="HA14" s="562"/>
      <c r="HB14" s="562"/>
      <c r="HC14" s="562"/>
      <c r="HD14" s="562"/>
      <c r="HE14" s="562"/>
      <c r="HF14" s="562"/>
      <c r="HG14" s="562"/>
      <c r="HH14" s="562"/>
      <c r="HI14" s="562"/>
      <c r="HJ14" s="562"/>
      <c r="HK14" s="562"/>
      <c r="HL14" s="562"/>
      <c r="HM14" s="562"/>
      <c r="HN14" s="562"/>
      <c r="HO14" s="562"/>
      <c r="HP14" s="562"/>
      <c r="HQ14" s="562"/>
      <c r="HR14" s="562"/>
      <c r="HS14" s="562"/>
      <c r="HT14" s="562"/>
      <c r="HU14" s="562"/>
      <c r="HV14" s="562"/>
    </row>
    <row r="15" spans="1:230" ht="14.4" x14ac:dyDescent="0.3">
      <c r="A15" s="163" t="s">
        <v>480</v>
      </c>
      <c r="B15" s="565">
        <v>40.084000000000003</v>
      </c>
      <c r="C15" s="587">
        <f>IF(B$21&lt;&gt;0,B15*100/B$21,"-")</f>
        <v>69.181912323092874</v>
      </c>
      <c r="D15" s="565">
        <v>33.061999999999998</v>
      </c>
      <c r="E15" s="587">
        <f>IF(D$21&lt;&gt;0,D15*100/D$21,"-")</f>
        <v>65.68783279027258</v>
      </c>
      <c r="F15" s="565">
        <v>39.164999999999999</v>
      </c>
      <c r="G15" s="587">
        <f>IF(F$21&lt;&gt;0,F15*100/F$21,"-")</f>
        <v>68.979182077565255</v>
      </c>
      <c r="H15" s="564">
        <f t="shared" si="2"/>
        <v>118.45925836307545</v>
      </c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2"/>
      <c r="W15" s="562"/>
      <c r="X15" s="562"/>
      <c r="Y15" s="562"/>
      <c r="Z15" s="562"/>
      <c r="AA15" s="562"/>
      <c r="AB15" s="562"/>
      <c r="AC15" s="562"/>
      <c r="AD15" s="562"/>
      <c r="AE15" s="562"/>
      <c r="AF15" s="562"/>
      <c r="AG15" s="562"/>
      <c r="AH15" s="562"/>
      <c r="AI15" s="562"/>
      <c r="AJ15" s="562"/>
      <c r="AK15" s="562"/>
      <c r="AL15" s="562"/>
      <c r="AM15" s="562"/>
      <c r="AN15" s="562"/>
      <c r="AO15" s="562"/>
      <c r="AP15" s="562"/>
      <c r="AQ15" s="562"/>
      <c r="AR15" s="562"/>
      <c r="AS15" s="562"/>
      <c r="AT15" s="562"/>
      <c r="AU15" s="562"/>
      <c r="AV15" s="562"/>
      <c r="AW15" s="562"/>
      <c r="AX15" s="562"/>
      <c r="AY15" s="562"/>
      <c r="AZ15" s="562"/>
      <c r="BA15" s="562"/>
      <c r="BB15" s="562"/>
      <c r="BC15" s="562"/>
      <c r="BD15" s="562"/>
      <c r="BE15" s="562"/>
      <c r="BF15" s="562"/>
      <c r="BG15" s="562"/>
      <c r="BH15" s="562"/>
      <c r="BI15" s="562"/>
      <c r="BJ15" s="562"/>
      <c r="BK15" s="562"/>
      <c r="BL15" s="562"/>
      <c r="BM15" s="562"/>
      <c r="BN15" s="562"/>
      <c r="BO15" s="562"/>
      <c r="BP15" s="562"/>
      <c r="BQ15" s="562"/>
      <c r="BR15" s="562"/>
      <c r="BS15" s="562"/>
      <c r="BT15" s="562"/>
      <c r="BU15" s="562"/>
      <c r="BV15" s="562"/>
      <c r="BW15" s="562"/>
      <c r="BX15" s="562"/>
      <c r="BY15" s="562"/>
      <c r="BZ15" s="562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 s="562"/>
      <c r="FX15" s="562"/>
      <c r="FY15" s="562"/>
      <c r="FZ15" s="562"/>
      <c r="GA15" s="562"/>
      <c r="GB15" s="562"/>
      <c r="GC15" s="562"/>
      <c r="GD15" s="562"/>
      <c r="GE15" s="562"/>
      <c r="GF15" s="562"/>
      <c r="GG15" s="562"/>
      <c r="GH15" s="562"/>
      <c r="GI15" s="562"/>
      <c r="GJ15" s="562"/>
      <c r="GK15" s="562"/>
      <c r="GL15" s="562"/>
      <c r="GM15" s="562"/>
      <c r="GN15" s="562"/>
      <c r="GO15" s="562"/>
      <c r="GP15" s="562"/>
      <c r="GQ15" s="562"/>
      <c r="GR15" s="562"/>
      <c r="GS15" s="562"/>
      <c r="GT15" s="562"/>
      <c r="GU15" s="562"/>
      <c r="GV15" s="562"/>
      <c r="GW15" s="562"/>
      <c r="GX15" s="562"/>
      <c r="GY15" s="562"/>
      <c r="GZ15" s="562"/>
      <c r="HA15" s="562"/>
      <c r="HB15" s="562"/>
      <c r="HC15" s="562"/>
      <c r="HD15" s="562"/>
      <c r="HE15" s="562"/>
      <c r="HF15" s="562"/>
      <c r="HG15" s="562"/>
      <c r="HH15" s="562"/>
      <c r="HI15" s="562"/>
      <c r="HJ15" s="562"/>
      <c r="HK15" s="562"/>
      <c r="HL15" s="562"/>
      <c r="HM15" s="562"/>
      <c r="HN15" s="562"/>
      <c r="HO15" s="562"/>
      <c r="HP15" s="562"/>
      <c r="HQ15" s="562"/>
      <c r="HR15" s="562"/>
      <c r="HS15" s="562"/>
      <c r="HT15" s="562"/>
      <c r="HU15" s="562"/>
      <c r="HV15" s="562"/>
    </row>
    <row r="16" spans="1:230" ht="14.4" x14ac:dyDescent="0.3">
      <c r="A16" s="163" t="s">
        <v>481</v>
      </c>
      <c r="B16" s="565">
        <v>0</v>
      </c>
      <c r="C16" s="587">
        <f t="shared" ref="C16:E20" si="9">IF(B$21&lt;&gt;0,B16*100/B$21,"-")</f>
        <v>0</v>
      </c>
      <c r="D16" s="565">
        <v>0</v>
      </c>
      <c r="E16" s="587">
        <f t="shared" si="9"/>
        <v>0</v>
      </c>
      <c r="F16" s="565">
        <v>0</v>
      </c>
      <c r="G16" s="587">
        <f t="shared" ref="G16" si="10">IF(F$21&lt;&gt;0,F16*100/F$21,"-")</f>
        <v>0</v>
      </c>
      <c r="H16" s="564" t="str">
        <f t="shared" si="2"/>
        <v>-</v>
      </c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2"/>
      <c r="Y16" s="562"/>
      <c r="Z16" s="562"/>
      <c r="AA16" s="562"/>
      <c r="AB16" s="562"/>
      <c r="AC16" s="562"/>
      <c r="AD16" s="562"/>
      <c r="AE16" s="562"/>
      <c r="AF16" s="562"/>
      <c r="AG16" s="562"/>
      <c r="AH16" s="562"/>
      <c r="AI16" s="562"/>
      <c r="AJ16" s="562"/>
      <c r="AK16" s="562"/>
      <c r="AL16" s="562"/>
      <c r="AM16" s="562"/>
      <c r="AN16" s="562"/>
      <c r="AO16" s="562"/>
      <c r="AP16" s="562"/>
      <c r="AQ16" s="562"/>
      <c r="AR16" s="562"/>
      <c r="AS16" s="562"/>
      <c r="AT16" s="562"/>
      <c r="AU16" s="562"/>
      <c r="AV16" s="562"/>
      <c r="AW16" s="562"/>
      <c r="AX16" s="562"/>
      <c r="AY16" s="562"/>
      <c r="AZ16" s="562"/>
      <c r="BA16" s="562"/>
      <c r="BB16" s="562"/>
      <c r="BC16" s="562"/>
      <c r="BD16" s="562"/>
      <c r="BE16" s="562"/>
      <c r="BF16" s="562"/>
      <c r="BG16" s="562"/>
      <c r="BH16" s="562"/>
      <c r="BI16" s="562"/>
      <c r="BJ16" s="562"/>
      <c r="BK16" s="562"/>
      <c r="BL16" s="562"/>
      <c r="BM16" s="562"/>
      <c r="BN16" s="562"/>
      <c r="BO16" s="562"/>
      <c r="BP16" s="562"/>
      <c r="BQ16" s="562"/>
      <c r="BR16" s="562"/>
      <c r="BS16" s="562"/>
      <c r="BT16" s="562"/>
      <c r="BU16" s="562"/>
      <c r="BV16" s="562"/>
      <c r="BW16" s="562"/>
      <c r="BX16" s="562"/>
      <c r="BY16" s="562"/>
      <c r="BZ16" s="562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 s="562"/>
      <c r="FX16" s="562"/>
      <c r="FY16" s="562"/>
      <c r="FZ16" s="562"/>
      <c r="GA16" s="562"/>
      <c r="GB16" s="562"/>
      <c r="GC16" s="562"/>
      <c r="GD16" s="562"/>
      <c r="GE16" s="562"/>
      <c r="GF16" s="562"/>
      <c r="GG16" s="562"/>
      <c r="GH16" s="562"/>
      <c r="GI16" s="562"/>
      <c r="GJ16" s="562"/>
      <c r="GK16" s="562"/>
      <c r="GL16" s="562"/>
      <c r="GM16" s="562"/>
      <c r="GN16" s="562"/>
      <c r="GO16" s="562"/>
      <c r="GP16" s="562"/>
      <c r="GQ16" s="562"/>
      <c r="GR16" s="562"/>
      <c r="GS16" s="562"/>
      <c r="GT16" s="562"/>
      <c r="GU16" s="562"/>
      <c r="GV16" s="562"/>
      <c r="GW16" s="562"/>
      <c r="GX16" s="562"/>
      <c r="GY16" s="562"/>
      <c r="GZ16" s="562"/>
      <c r="HA16" s="562"/>
      <c r="HB16" s="562"/>
      <c r="HC16" s="562"/>
      <c r="HD16" s="562"/>
      <c r="HE16" s="562"/>
      <c r="HF16" s="562"/>
      <c r="HG16" s="562"/>
      <c r="HH16" s="562"/>
      <c r="HI16" s="562"/>
      <c r="HJ16" s="562"/>
      <c r="HK16" s="562"/>
      <c r="HL16" s="562"/>
      <c r="HM16" s="562"/>
      <c r="HN16" s="562"/>
      <c r="HO16" s="562"/>
      <c r="HP16" s="562"/>
      <c r="HQ16" s="562"/>
      <c r="HR16" s="562"/>
      <c r="HS16" s="562"/>
      <c r="HT16" s="562"/>
      <c r="HU16" s="562"/>
      <c r="HV16" s="562"/>
    </row>
    <row r="17" spans="1:230" ht="14.4" x14ac:dyDescent="0.3">
      <c r="A17" s="163" t="s">
        <v>482</v>
      </c>
      <c r="B17" s="565">
        <v>0</v>
      </c>
      <c r="C17" s="587">
        <f t="shared" si="9"/>
        <v>0</v>
      </c>
      <c r="D17" s="565">
        <v>0</v>
      </c>
      <c r="E17" s="587">
        <f t="shared" si="9"/>
        <v>0</v>
      </c>
      <c r="F17" s="565">
        <v>0</v>
      </c>
      <c r="G17" s="587">
        <f t="shared" ref="G17" si="11">IF(F$21&lt;&gt;0,F17*100/F$21,"-")</f>
        <v>0</v>
      </c>
      <c r="H17" s="564" t="str">
        <f t="shared" si="2"/>
        <v>-</v>
      </c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562"/>
      <c r="Z17" s="562"/>
      <c r="AA17" s="562"/>
      <c r="AB17" s="562"/>
      <c r="AC17" s="562"/>
      <c r="AD17" s="562"/>
      <c r="AE17" s="562"/>
      <c r="AF17" s="562"/>
      <c r="AG17" s="562"/>
      <c r="AH17" s="562"/>
      <c r="AI17" s="562"/>
      <c r="AJ17" s="562"/>
      <c r="AK17" s="562"/>
      <c r="AL17" s="562"/>
      <c r="AM17" s="562"/>
      <c r="AN17" s="562"/>
      <c r="AO17" s="562"/>
      <c r="AP17" s="562"/>
      <c r="AQ17" s="562"/>
      <c r="AR17" s="562"/>
      <c r="AS17" s="562"/>
      <c r="AT17" s="562"/>
      <c r="AU17" s="562"/>
      <c r="AV17" s="562"/>
      <c r="AW17" s="562"/>
      <c r="AX17" s="562"/>
      <c r="AY17" s="562"/>
      <c r="AZ17" s="562"/>
      <c r="BA17" s="562"/>
      <c r="BB17" s="562"/>
      <c r="BC17" s="562"/>
      <c r="BD17" s="562"/>
      <c r="BE17" s="562"/>
      <c r="BF17" s="562"/>
      <c r="BG17" s="562"/>
      <c r="BH17" s="562"/>
      <c r="BI17" s="562"/>
      <c r="BJ17" s="562"/>
      <c r="BK17" s="562"/>
      <c r="BL17" s="562"/>
      <c r="BM17" s="562"/>
      <c r="BN17" s="562"/>
      <c r="BO17" s="562"/>
      <c r="BP17" s="562"/>
      <c r="BQ17" s="562"/>
      <c r="BR17" s="562"/>
      <c r="BS17" s="562"/>
      <c r="BT17" s="562"/>
      <c r="BU17" s="562"/>
      <c r="BV17" s="562"/>
      <c r="BW17" s="562"/>
      <c r="BX17" s="562"/>
      <c r="BY17" s="562"/>
      <c r="BZ17" s="562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 s="562"/>
      <c r="FX17" s="562"/>
      <c r="FY17" s="562"/>
      <c r="FZ17" s="562"/>
      <c r="GA17" s="562"/>
      <c r="GB17" s="562"/>
      <c r="GC17" s="562"/>
      <c r="GD17" s="562"/>
      <c r="GE17" s="562"/>
      <c r="GF17" s="562"/>
      <c r="GG17" s="562"/>
      <c r="GH17" s="562"/>
      <c r="GI17" s="562"/>
      <c r="GJ17" s="562"/>
      <c r="GK17" s="562"/>
      <c r="GL17" s="562"/>
      <c r="GM17" s="562"/>
      <c r="GN17" s="562"/>
      <c r="GO17" s="562"/>
      <c r="GP17" s="562"/>
      <c r="GQ17" s="562"/>
      <c r="GR17" s="562"/>
      <c r="GS17" s="562"/>
      <c r="GT17" s="562"/>
      <c r="GU17" s="562"/>
      <c r="GV17" s="562"/>
      <c r="GW17" s="562"/>
      <c r="GX17" s="562"/>
      <c r="GY17" s="562"/>
      <c r="GZ17" s="562"/>
      <c r="HA17" s="562"/>
      <c r="HB17" s="562"/>
      <c r="HC17" s="562"/>
      <c r="HD17" s="562"/>
      <c r="HE17" s="562"/>
      <c r="HF17" s="562"/>
      <c r="HG17" s="562"/>
      <c r="HH17" s="562"/>
      <c r="HI17" s="562"/>
      <c r="HJ17" s="562"/>
      <c r="HK17" s="562"/>
      <c r="HL17" s="562"/>
      <c r="HM17" s="562"/>
      <c r="HN17" s="562"/>
      <c r="HO17" s="562"/>
      <c r="HP17" s="562"/>
      <c r="HQ17" s="562"/>
      <c r="HR17" s="562"/>
      <c r="HS17" s="562"/>
      <c r="HT17" s="562"/>
      <c r="HU17" s="562"/>
      <c r="HV17" s="562"/>
    </row>
    <row r="18" spans="1:230" ht="14.4" x14ac:dyDescent="0.3">
      <c r="A18" s="163" t="s">
        <v>483</v>
      </c>
      <c r="B18" s="565">
        <v>9.1690000000000005</v>
      </c>
      <c r="C18" s="587">
        <f t="shared" si="9"/>
        <v>15.824991370383158</v>
      </c>
      <c r="D18" s="565">
        <v>9.6430000000000007</v>
      </c>
      <c r="E18" s="587">
        <f t="shared" si="9"/>
        <v>19.158785663196376</v>
      </c>
      <c r="F18" s="565">
        <v>12.034000000000001</v>
      </c>
      <c r="G18" s="587">
        <f t="shared" ref="G18" si="12">IF(F$21&lt;&gt;0,F18*100/F$21,"-")</f>
        <v>21.194828983056819</v>
      </c>
      <c r="H18" s="564">
        <f t="shared" si="2"/>
        <v>124.79518821943378</v>
      </c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 s="562"/>
      <c r="FX18" s="562"/>
      <c r="FY18" s="562"/>
      <c r="FZ18" s="562"/>
      <c r="GA18" s="562"/>
      <c r="GB18" s="562"/>
      <c r="GC18" s="562"/>
      <c r="GD18" s="562"/>
      <c r="GE18" s="562"/>
      <c r="GF18" s="562"/>
      <c r="GG18" s="562"/>
      <c r="GH18" s="562"/>
      <c r="GI18" s="562"/>
      <c r="GJ18" s="562"/>
      <c r="GK18" s="562"/>
      <c r="GL18" s="562"/>
      <c r="GM18" s="562"/>
      <c r="GN18" s="562"/>
      <c r="GO18" s="562"/>
      <c r="GP18" s="562"/>
      <c r="GQ18" s="562"/>
      <c r="GR18" s="562"/>
      <c r="GS18" s="562"/>
      <c r="GT18" s="562"/>
      <c r="GU18" s="562"/>
      <c r="GV18" s="562"/>
      <c r="GW18" s="562"/>
      <c r="GX18" s="562"/>
      <c r="GY18" s="562"/>
      <c r="GZ18" s="562"/>
      <c r="HA18" s="562"/>
      <c r="HB18" s="562"/>
      <c r="HC18" s="562"/>
      <c r="HD18" s="562"/>
      <c r="HE18" s="562"/>
      <c r="HF18" s="562"/>
      <c r="HG18" s="562"/>
      <c r="HH18" s="562"/>
      <c r="HI18" s="562"/>
      <c r="HJ18" s="562"/>
      <c r="HK18" s="562"/>
      <c r="HL18" s="562"/>
      <c r="HM18" s="562"/>
      <c r="HN18" s="562"/>
      <c r="HO18" s="562"/>
      <c r="HP18" s="562"/>
      <c r="HQ18" s="562"/>
      <c r="HR18" s="562"/>
      <c r="HS18" s="562"/>
      <c r="HT18" s="562"/>
      <c r="HU18" s="562"/>
      <c r="HV18" s="562"/>
    </row>
    <row r="19" spans="1:230" ht="14.4" x14ac:dyDescent="0.3">
      <c r="A19" s="163" t="s">
        <v>484</v>
      </c>
      <c r="B19" s="565">
        <v>1.974</v>
      </c>
      <c r="C19" s="587">
        <f t="shared" si="9"/>
        <v>3.4069727304107702</v>
      </c>
      <c r="D19" s="565">
        <v>1.978</v>
      </c>
      <c r="E19" s="587">
        <f t="shared" si="9"/>
        <v>3.9299054279583565</v>
      </c>
      <c r="F19" s="565">
        <v>3.4740000000000002</v>
      </c>
      <c r="G19" s="587">
        <f t="shared" ref="G19" si="13">IF(F$21&lt;&gt;0,F19*100/F$21,"-")</f>
        <v>6.1185670506181982</v>
      </c>
      <c r="H19" s="564">
        <f t="shared" si="2"/>
        <v>175.63195146612742</v>
      </c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2"/>
      <c r="AL19" s="562"/>
      <c r="AM19" s="562"/>
      <c r="AN19" s="562"/>
      <c r="AO19" s="562"/>
      <c r="AP19" s="562"/>
      <c r="AQ19" s="562"/>
      <c r="AR19" s="562"/>
      <c r="AS19" s="562"/>
      <c r="AT19" s="562"/>
      <c r="AU19" s="562"/>
      <c r="AV19" s="562"/>
      <c r="AW19" s="562"/>
      <c r="AX19" s="562"/>
      <c r="AY19" s="562"/>
      <c r="AZ19" s="562"/>
      <c r="BA19" s="562"/>
      <c r="BB19" s="562"/>
      <c r="BC19" s="562"/>
      <c r="BD19" s="562"/>
      <c r="BE19" s="562"/>
      <c r="BF19" s="562"/>
      <c r="BG19" s="562"/>
      <c r="BH19" s="562"/>
      <c r="BI19" s="562"/>
      <c r="BJ19" s="562"/>
      <c r="BK19" s="562"/>
      <c r="BL19" s="562"/>
      <c r="BM19" s="562"/>
      <c r="BN19" s="562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 s="562"/>
      <c r="FX19" s="562"/>
      <c r="FY19" s="562"/>
      <c r="FZ19" s="562"/>
      <c r="GA19" s="562"/>
      <c r="GB19" s="562"/>
      <c r="GC19" s="562"/>
      <c r="GD19" s="562"/>
      <c r="GE19" s="562"/>
      <c r="GF19" s="562"/>
      <c r="GG19" s="562"/>
      <c r="GH19" s="562"/>
      <c r="GI19" s="562"/>
      <c r="GJ19" s="562"/>
      <c r="GK19" s="562"/>
      <c r="GL19" s="562"/>
      <c r="GM19" s="562"/>
      <c r="GN19" s="562"/>
      <c r="GO19" s="562"/>
      <c r="GP19" s="562"/>
      <c r="GQ19" s="562"/>
      <c r="GR19" s="562"/>
      <c r="GS19" s="562"/>
      <c r="GT19" s="562"/>
      <c r="GU19" s="562"/>
      <c r="GV19" s="562"/>
      <c r="GW19" s="562"/>
      <c r="GX19" s="562"/>
      <c r="GY19" s="562"/>
      <c r="GZ19" s="562"/>
      <c r="HA19" s="562"/>
      <c r="HB19" s="562"/>
      <c r="HC19" s="562"/>
      <c r="HD19" s="562"/>
      <c r="HE19" s="562"/>
      <c r="HF19" s="562"/>
      <c r="HG19" s="562"/>
      <c r="HH19" s="562"/>
      <c r="HI19" s="562"/>
      <c r="HJ19" s="562"/>
      <c r="HK19" s="562"/>
      <c r="HL19" s="562"/>
      <c r="HM19" s="562"/>
      <c r="HN19" s="562"/>
      <c r="HO19" s="562"/>
      <c r="HP19" s="562"/>
      <c r="HQ19" s="562"/>
      <c r="HR19" s="562"/>
      <c r="HS19" s="562"/>
      <c r="HT19" s="562"/>
      <c r="HU19" s="562"/>
      <c r="HV19" s="562"/>
    </row>
    <row r="20" spans="1:230" ht="14.4" x14ac:dyDescent="0.3">
      <c r="A20" s="163" t="s">
        <v>485</v>
      </c>
      <c r="B20" s="565">
        <v>6.7130000000000001</v>
      </c>
      <c r="C20" s="587">
        <f t="shared" si="9"/>
        <v>11.58612357611322</v>
      </c>
      <c r="D20" s="565">
        <v>5.649</v>
      </c>
      <c r="E20" s="587">
        <f t="shared" si="9"/>
        <v>11.223476118572677</v>
      </c>
      <c r="F20" s="565">
        <v>2.105</v>
      </c>
      <c r="G20" s="587">
        <f t="shared" ref="G20" si="14">IF(F$21&lt;&gt;0,F20*100/F$21,"-")</f>
        <v>3.7074218887597308</v>
      </c>
      <c r="H20" s="564">
        <f t="shared" si="2"/>
        <v>37.263232430518677</v>
      </c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2"/>
      <c r="Y20" s="562"/>
      <c r="Z20" s="562"/>
      <c r="AA20" s="562"/>
      <c r="AB20" s="562"/>
      <c r="AC20" s="562"/>
      <c r="AD20" s="562"/>
      <c r="AE20" s="562"/>
      <c r="AF20" s="562"/>
      <c r="AG20" s="562"/>
      <c r="AH20" s="562"/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2"/>
      <c r="AX20" s="562"/>
      <c r="AY20" s="562"/>
      <c r="AZ20" s="562"/>
      <c r="BA20" s="562"/>
      <c r="BB20" s="562"/>
      <c r="BC20" s="562"/>
      <c r="BD20" s="562"/>
      <c r="BE20" s="562"/>
      <c r="BF20" s="562"/>
      <c r="BG20" s="562"/>
      <c r="BH20" s="562"/>
      <c r="BI20" s="562"/>
      <c r="BJ20" s="562"/>
      <c r="BK20" s="562"/>
      <c r="BL20" s="562"/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2"/>
      <c r="BZ20" s="562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 s="562"/>
      <c r="FX20" s="562"/>
      <c r="FY20" s="562"/>
      <c r="FZ20" s="562"/>
      <c r="GA20" s="562"/>
      <c r="GB20" s="562"/>
      <c r="GC20" s="562"/>
      <c r="GD20" s="562"/>
      <c r="GE20" s="562"/>
      <c r="GF20" s="562"/>
      <c r="GG20" s="562"/>
      <c r="GH20" s="562"/>
      <c r="GI20" s="562"/>
      <c r="GJ20" s="562"/>
      <c r="GK20" s="562"/>
      <c r="GL20" s="562"/>
      <c r="GM20" s="562"/>
      <c r="GN20" s="562"/>
      <c r="GO20" s="562"/>
      <c r="GP20" s="562"/>
      <c r="GQ20" s="562"/>
      <c r="GR20" s="562"/>
      <c r="GS20" s="562"/>
      <c r="GT20" s="562"/>
      <c r="GU20" s="562"/>
      <c r="GV20" s="562"/>
      <c r="GW20" s="562"/>
      <c r="GX20" s="562"/>
      <c r="GY20" s="562"/>
      <c r="GZ20" s="562"/>
      <c r="HA20" s="562"/>
      <c r="HB20" s="562"/>
      <c r="HC20" s="562"/>
      <c r="HD20" s="562"/>
      <c r="HE20" s="562"/>
      <c r="HF20" s="562"/>
      <c r="HG20" s="562"/>
      <c r="HH20" s="562"/>
      <c r="HI20" s="562"/>
      <c r="HJ20" s="562"/>
      <c r="HK20" s="562"/>
      <c r="HL20" s="562"/>
      <c r="HM20" s="562"/>
      <c r="HN20" s="562"/>
      <c r="HO20" s="562"/>
      <c r="HP20" s="562"/>
      <c r="HQ20" s="562"/>
      <c r="HR20" s="562"/>
      <c r="HS20" s="562"/>
      <c r="HT20" s="562"/>
      <c r="HU20" s="562"/>
      <c r="HV20" s="562"/>
    </row>
    <row r="21" spans="1:230" ht="14.4" x14ac:dyDescent="0.3">
      <c r="A21" s="566" t="s">
        <v>486</v>
      </c>
      <c r="B21" s="567">
        <f t="shared" ref="B21:G21" si="15">SUM(B15:B20)</f>
        <v>57.94</v>
      </c>
      <c r="C21" s="588">
        <f t="shared" si="15"/>
        <v>100.00000000000003</v>
      </c>
      <c r="D21" s="567">
        <f t="shared" si="15"/>
        <v>50.332000000000001</v>
      </c>
      <c r="E21" s="588">
        <f t="shared" si="15"/>
        <v>99.999999999999986</v>
      </c>
      <c r="F21" s="567">
        <f t="shared" si="15"/>
        <v>56.777999999999999</v>
      </c>
      <c r="G21" s="588">
        <f t="shared" si="15"/>
        <v>100</v>
      </c>
      <c r="H21" s="564">
        <f t="shared" si="2"/>
        <v>112.80696177382183</v>
      </c>
      <c r="I21" s="562"/>
      <c r="J21" s="562"/>
      <c r="K21" s="562"/>
      <c r="L21" s="562"/>
      <c r="M21" s="562"/>
      <c r="N21" s="562"/>
      <c r="O21" s="562"/>
      <c r="P21" s="562"/>
      <c r="Q21" s="562"/>
      <c r="R21" s="562"/>
      <c r="S21" s="562"/>
      <c r="T21" s="562"/>
      <c r="U21" s="562"/>
      <c r="V21" s="562"/>
      <c r="W21" s="562"/>
      <c r="X21" s="562"/>
      <c r="Y21" s="562"/>
      <c r="Z21" s="562"/>
      <c r="AA21" s="562"/>
      <c r="AB21" s="562"/>
      <c r="AC21" s="562"/>
      <c r="AD21" s="562"/>
      <c r="AE21" s="562"/>
      <c r="AF21" s="562"/>
      <c r="AG21" s="562"/>
      <c r="AH21" s="562"/>
      <c r="AI21" s="562"/>
      <c r="AJ21" s="562"/>
      <c r="AK21" s="562"/>
      <c r="AL21" s="562"/>
      <c r="AM21" s="562"/>
      <c r="AN21" s="562"/>
      <c r="AO21" s="562"/>
      <c r="AP21" s="562"/>
      <c r="AQ21" s="562"/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2"/>
      <c r="BC21" s="562"/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2"/>
      <c r="BP21" s="562"/>
      <c r="BQ21" s="562"/>
      <c r="BR21" s="562"/>
      <c r="BS21" s="562"/>
      <c r="BT21" s="562"/>
      <c r="BU21" s="562"/>
      <c r="BV21" s="562"/>
      <c r="BW21" s="562"/>
      <c r="BX21" s="562"/>
      <c r="BY21" s="562"/>
      <c r="BZ21" s="562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 s="562"/>
      <c r="FX21" s="562"/>
      <c r="FY21" s="562"/>
      <c r="FZ21" s="562"/>
      <c r="GA21" s="562"/>
      <c r="GB21" s="562"/>
      <c r="GC21" s="562"/>
      <c r="GD21" s="562"/>
      <c r="GE21" s="562"/>
      <c r="GF21" s="562"/>
      <c r="GG21" s="562"/>
      <c r="GH21" s="562"/>
      <c r="GI21" s="562"/>
      <c r="GJ21" s="562"/>
      <c r="GK21" s="562"/>
      <c r="GL21" s="562"/>
      <c r="GM21" s="562"/>
      <c r="GN21" s="562"/>
      <c r="GO21" s="562"/>
      <c r="GP21" s="562"/>
      <c r="GQ21" s="562"/>
      <c r="GR21" s="562"/>
      <c r="GS21" s="562"/>
      <c r="GT21" s="562"/>
      <c r="GU21" s="562"/>
      <c r="GV21" s="562"/>
      <c r="GW21" s="562"/>
      <c r="GX21" s="562"/>
      <c r="GY21" s="562"/>
      <c r="GZ21" s="562"/>
      <c r="HA21" s="562"/>
      <c r="HB21" s="562"/>
      <c r="HC21" s="562"/>
      <c r="HD21" s="562"/>
      <c r="HE21" s="562"/>
      <c r="HF21" s="562"/>
      <c r="HG21" s="562"/>
      <c r="HH21" s="562"/>
      <c r="HI21" s="562"/>
      <c r="HJ21" s="562"/>
      <c r="HK21" s="562"/>
      <c r="HL21" s="562"/>
      <c r="HM21" s="562"/>
      <c r="HN21" s="562"/>
      <c r="HO21" s="562"/>
      <c r="HP21" s="562"/>
      <c r="HQ21" s="562"/>
      <c r="HR21" s="562"/>
      <c r="HS21" s="562"/>
      <c r="HT21" s="562"/>
      <c r="HU21" s="562"/>
      <c r="HV21" s="562"/>
    </row>
    <row r="22" spans="1:230" ht="14.4" x14ac:dyDescent="0.3">
      <c r="A22" s="566" t="s">
        <v>487</v>
      </c>
      <c r="B22" s="567">
        <f>+B13-B21</f>
        <v>250.23899999999998</v>
      </c>
      <c r="C22" s="590"/>
      <c r="D22" s="567">
        <f>+D13-D21</f>
        <v>279.22399999999999</v>
      </c>
      <c r="E22" s="590"/>
      <c r="F22" s="567">
        <f>+F13-F21</f>
        <v>352.65200000000004</v>
      </c>
      <c r="G22" s="590"/>
      <c r="H22" s="564">
        <f t="shared" si="2"/>
        <v>126.29716643268489</v>
      </c>
      <c r="I22" s="562"/>
      <c r="J22" s="562"/>
      <c r="K22" s="562"/>
      <c r="L22" s="562"/>
      <c r="M22" s="562"/>
      <c r="N22" s="562"/>
      <c r="O22" s="562"/>
      <c r="P22" s="562"/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562"/>
      <c r="AB22" s="562"/>
      <c r="AC22" s="562"/>
      <c r="AD22" s="562"/>
      <c r="AE22" s="562"/>
      <c r="AF22" s="562"/>
      <c r="AG22" s="562"/>
      <c r="AH22" s="562"/>
      <c r="AI22" s="562"/>
      <c r="AJ22" s="562"/>
      <c r="AK22" s="562"/>
      <c r="AL22" s="562"/>
      <c r="AM22" s="562"/>
      <c r="AN22" s="562"/>
      <c r="AO22" s="562"/>
      <c r="AP22" s="562"/>
      <c r="AQ22" s="562"/>
      <c r="AR22" s="562"/>
      <c r="AS22" s="562"/>
      <c r="AT22" s="562"/>
      <c r="AU22" s="562"/>
      <c r="AV22" s="562"/>
      <c r="AW22" s="562"/>
      <c r="AX22" s="562"/>
      <c r="AY22" s="562"/>
      <c r="AZ22" s="562"/>
      <c r="BA22" s="562"/>
      <c r="BB22" s="562"/>
      <c r="BC22" s="562"/>
      <c r="BD22" s="562"/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2"/>
      <c r="BP22" s="562"/>
      <c r="BQ22" s="562"/>
      <c r="BR22" s="562"/>
      <c r="BS22" s="562"/>
      <c r="BT22" s="562"/>
      <c r="BU22" s="562"/>
      <c r="BV22" s="562"/>
      <c r="BW22" s="562"/>
      <c r="BX22" s="562"/>
      <c r="BY22" s="562"/>
      <c r="BZ22" s="56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 s="562"/>
      <c r="FX22" s="562"/>
      <c r="FY22" s="562"/>
      <c r="FZ22" s="562"/>
      <c r="GA22" s="562"/>
      <c r="GB22" s="562"/>
      <c r="GC22" s="562"/>
      <c r="GD22" s="562"/>
      <c r="GE22" s="562"/>
      <c r="GF22" s="562"/>
      <c r="GG22" s="562"/>
      <c r="GH22" s="562"/>
      <c r="GI22" s="562"/>
      <c r="GJ22" s="562"/>
      <c r="GK22" s="562"/>
      <c r="GL22" s="562"/>
      <c r="GM22" s="562"/>
      <c r="GN22" s="562"/>
      <c r="GO22" s="562"/>
      <c r="GP22" s="562"/>
      <c r="GQ22" s="562"/>
      <c r="GR22" s="562"/>
      <c r="GS22" s="562"/>
      <c r="GT22" s="562"/>
      <c r="GU22" s="562"/>
      <c r="GV22" s="562"/>
      <c r="GW22" s="562"/>
      <c r="GX22" s="562"/>
      <c r="GY22" s="562"/>
      <c r="GZ22" s="562"/>
      <c r="HA22" s="562"/>
      <c r="HB22" s="562"/>
      <c r="HC22" s="562"/>
      <c r="HD22" s="562"/>
      <c r="HE22" s="562"/>
      <c r="HF22" s="562"/>
      <c r="HG22" s="562"/>
      <c r="HH22" s="562"/>
      <c r="HI22" s="562"/>
      <c r="HJ22" s="562"/>
      <c r="HK22" s="562"/>
      <c r="HL22" s="562"/>
      <c r="HM22" s="562"/>
      <c r="HN22" s="562"/>
      <c r="HO22" s="562"/>
      <c r="HP22" s="562"/>
      <c r="HQ22" s="562"/>
      <c r="HR22" s="562"/>
      <c r="HS22" s="562"/>
      <c r="HT22" s="562"/>
      <c r="HU22" s="562"/>
      <c r="HV22" s="562"/>
    </row>
    <row r="23" spans="1:230" ht="14.4" x14ac:dyDescent="0.3">
      <c r="A23" s="566" t="s">
        <v>488</v>
      </c>
      <c r="B23" s="565"/>
      <c r="C23" s="589"/>
      <c r="D23" s="565"/>
      <c r="E23" s="589"/>
      <c r="F23" s="565"/>
      <c r="G23" s="589"/>
      <c r="H23" s="564" t="str">
        <f t="shared" si="2"/>
        <v>-</v>
      </c>
      <c r="I23" s="562"/>
      <c r="J23" s="562"/>
      <c r="K23" s="562"/>
      <c r="L23" s="562"/>
      <c r="M23" s="562"/>
      <c r="N23" s="562"/>
      <c r="O23" s="562"/>
      <c r="P23" s="562"/>
      <c r="Q23" s="562"/>
      <c r="R23" s="562"/>
      <c r="S23" s="562"/>
      <c r="T23" s="562"/>
      <c r="U23" s="562"/>
      <c r="V23" s="562"/>
      <c r="W23" s="562"/>
      <c r="X23" s="562"/>
      <c r="Y23" s="562"/>
      <c r="Z23" s="562"/>
      <c r="AA23" s="562"/>
      <c r="AB23" s="562"/>
      <c r="AC23" s="562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2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2"/>
      <c r="AZ23" s="562"/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2"/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 s="562"/>
      <c r="FX23" s="562"/>
      <c r="FY23" s="562"/>
      <c r="FZ23" s="562"/>
      <c r="GA23" s="562"/>
      <c r="GB23" s="562"/>
      <c r="GC23" s="562"/>
      <c r="GD23" s="562"/>
      <c r="GE23" s="562"/>
      <c r="GF23" s="562"/>
      <c r="GG23" s="562"/>
      <c r="GH23" s="562"/>
      <c r="GI23" s="562"/>
      <c r="GJ23" s="562"/>
      <c r="GK23" s="562"/>
      <c r="GL23" s="562"/>
      <c r="GM23" s="562"/>
      <c r="GN23" s="562"/>
      <c r="GO23" s="562"/>
      <c r="GP23" s="562"/>
      <c r="GQ23" s="562"/>
      <c r="GR23" s="562"/>
      <c r="GS23" s="562"/>
      <c r="GT23" s="562"/>
      <c r="GU23" s="562"/>
      <c r="GV23" s="562"/>
      <c r="GW23" s="562"/>
      <c r="GX23" s="562"/>
      <c r="GY23" s="562"/>
      <c r="GZ23" s="562"/>
      <c r="HA23" s="562"/>
      <c r="HB23" s="562"/>
      <c r="HC23" s="562"/>
      <c r="HD23" s="562"/>
      <c r="HE23" s="562"/>
      <c r="HF23" s="562"/>
      <c r="HG23" s="562"/>
      <c r="HH23" s="562"/>
      <c r="HI23" s="562"/>
      <c r="HJ23" s="562"/>
      <c r="HK23" s="562"/>
      <c r="HL23" s="562"/>
      <c r="HM23" s="562"/>
      <c r="HN23" s="562"/>
      <c r="HO23" s="562"/>
      <c r="HP23" s="562"/>
      <c r="HQ23" s="562"/>
      <c r="HR23" s="562"/>
      <c r="HS23" s="562"/>
      <c r="HT23" s="562"/>
      <c r="HU23" s="562"/>
      <c r="HV23" s="562"/>
    </row>
    <row r="24" spans="1:230" ht="14.4" x14ac:dyDescent="0.3">
      <c r="A24" s="163" t="s">
        <v>489</v>
      </c>
      <c r="B24" s="565">
        <v>17.966999999999999</v>
      </c>
      <c r="C24" s="587">
        <f>IF(B$30&lt;&gt;0,B24*100/B$30,"-")</f>
        <v>9.4570623996631316</v>
      </c>
      <c r="D24" s="565">
        <v>22.709</v>
      </c>
      <c r="E24" s="587">
        <f>IF(D$30&lt;&gt;0,D24*100/D$30,"-")</f>
        <v>10.340745058217635</v>
      </c>
      <c r="F24" s="565">
        <v>21.890999999999998</v>
      </c>
      <c r="G24" s="587">
        <f>IF(F$30&lt;&gt;0,F24*100/F$30,"-")</f>
        <v>9.0926838183373881</v>
      </c>
      <c r="H24" s="564">
        <f t="shared" si="2"/>
        <v>96.397903914747459</v>
      </c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2"/>
      <c r="AL24" s="562"/>
      <c r="AM24" s="562"/>
      <c r="AN24" s="562"/>
      <c r="AO24" s="562"/>
      <c r="AP24" s="562"/>
      <c r="AQ24" s="562"/>
      <c r="AR24" s="562"/>
      <c r="AS24" s="562"/>
      <c r="AT24" s="562"/>
      <c r="AU24" s="562"/>
      <c r="AV24" s="562"/>
      <c r="AW24" s="562"/>
      <c r="AX24" s="562"/>
      <c r="AY24" s="562"/>
      <c r="AZ24" s="562"/>
      <c r="BA24" s="562"/>
      <c r="BB24" s="562"/>
      <c r="BC24" s="562"/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2"/>
      <c r="BP24" s="562"/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 s="562"/>
      <c r="FX24" s="562"/>
      <c r="FY24" s="562"/>
      <c r="FZ24" s="562"/>
      <c r="GA24" s="562"/>
      <c r="GB24" s="562"/>
      <c r="GC24" s="562"/>
      <c r="GD24" s="562"/>
      <c r="GE24" s="562"/>
      <c r="GF24" s="562"/>
      <c r="GG24" s="562"/>
      <c r="GH24" s="562"/>
      <c r="GI24" s="562"/>
      <c r="GJ24" s="562"/>
      <c r="GK24" s="562"/>
      <c r="GL24" s="562"/>
      <c r="GM24" s="562"/>
      <c r="GN24" s="562"/>
      <c r="GO24" s="562"/>
      <c r="GP24" s="562"/>
      <c r="GQ24" s="562"/>
      <c r="GR24" s="562"/>
      <c r="GS24" s="562"/>
      <c r="GT24" s="562"/>
      <c r="GU24" s="562"/>
      <c r="GV24" s="562"/>
      <c r="GW24" s="562"/>
      <c r="GX24" s="562"/>
      <c r="GY24" s="562"/>
      <c r="GZ24" s="562"/>
      <c r="HA24" s="562"/>
      <c r="HB24" s="562"/>
      <c r="HC24" s="562"/>
      <c r="HD24" s="562"/>
      <c r="HE24" s="562"/>
      <c r="HF24" s="562"/>
      <c r="HG24" s="562"/>
      <c r="HH24" s="562"/>
      <c r="HI24" s="562"/>
      <c r="HJ24" s="562"/>
      <c r="HK24" s="562"/>
      <c r="HL24" s="562"/>
      <c r="HM24" s="562"/>
      <c r="HN24" s="562"/>
      <c r="HO24" s="562"/>
      <c r="HP24" s="562"/>
      <c r="HQ24" s="562"/>
      <c r="HR24" s="562"/>
      <c r="HS24" s="562"/>
      <c r="HT24" s="562"/>
      <c r="HU24" s="562"/>
      <c r="HV24" s="562"/>
    </row>
    <row r="25" spans="1:230" ht="14.4" x14ac:dyDescent="0.3">
      <c r="A25" s="163" t="s">
        <v>490</v>
      </c>
      <c r="B25" s="565">
        <v>5.3239999999999998</v>
      </c>
      <c r="C25" s="587">
        <f t="shared" ref="C25:E29" si="16">IF(B$30&lt;&gt;0,B25*100/B$30,"-")</f>
        <v>2.802326499460484</v>
      </c>
      <c r="D25" s="565">
        <v>5.3650000000000002</v>
      </c>
      <c r="E25" s="587">
        <f t="shared" si="16"/>
        <v>2.443000450805302</v>
      </c>
      <c r="F25" s="565">
        <v>4.718</v>
      </c>
      <c r="G25" s="587">
        <f t="shared" ref="G25" si="17">IF(F$30&lt;&gt;0,F25*100/F$30,"-")</f>
        <v>1.9596766824227219</v>
      </c>
      <c r="H25" s="564">
        <f t="shared" si="2"/>
        <v>87.940354147250702</v>
      </c>
      <c r="I25" s="562"/>
      <c r="J25" s="562"/>
      <c r="K25" s="562"/>
      <c r="L25" s="562"/>
      <c r="M25" s="562"/>
      <c r="N25" s="562"/>
      <c r="O25" s="562"/>
      <c r="P25" s="562"/>
      <c r="Q25" s="562"/>
      <c r="R25" s="562"/>
      <c r="S25" s="562"/>
      <c r="T25" s="562"/>
      <c r="U25" s="562"/>
      <c r="V25" s="562"/>
      <c r="W25" s="562"/>
      <c r="X25" s="562"/>
      <c r="Y25" s="562"/>
      <c r="Z25" s="562"/>
      <c r="AA25" s="562"/>
      <c r="AB25" s="562"/>
      <c r="AC25" s="562"/>
      <c r="AD25" s="562"/>
      <c r="AE25" s="562"/>
      <c r="AF25" s="562"/>
      <c r="AG25" s="562"/>
      <c r="AH25" s="562"/>
      <c r="AI25" s="562"/>
      <c r="AJ25" s="562"/>
      <c r="AK25" s="562"/>
      <c r="AL25" s="562"/>
      <c r="AM25" s="562"/>
      <c r="AN25" s="562"/>
      <c r="AO25" s="562"/>
      <c r="AP25" s="562"/>
      <c r="AQ25" s="562"/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2"/>
      <c r="BC25" s="562"/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2"/>
      <c r="BP25" s="562"/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 s="562"/>
      <c r="FX25" s="562"/>
      <c r="FY25" s="562"/>
      <c r="FZ25" s="562"/>
      <c r="GA25" s="562"/>
      <c r="GB25" s="562"/>
      <c r="GC25" s="562"/>
      <c r="GD25" s="562"/>
      <c r="GE25" s="562"/>
      <c r="GF25" s="562"/>
      <c r="GG25" s="562"/>
      <c r="GH25" s="562"/>
      <c r="GI25" s="562"/>
      <c r="GJ25" s="562"/>
      <c r="GK25" s="562"/>
      <c r="GL25" s="562"/>
      <c r="GM25" s="562"/>
      <c r="GN25" s="562"/>
      <c r="GO25" s="562"/>
      <c r="GP25" s="562"/>
      <c r="GQ25" s="562"/>
      <c r="GR25" s="562"/>
      <c r="GS25" s="562"/>
      <c r="GT25" s="562"/>
      <c r="GU25" s="562"/>
      <c r="GV25" s="562"/>
      <c r="GW25" s="562"/>
      <c r="GX25" s="562"/>
      <c r="GY25" s="562"/>
      <c r="GZ25" s="562"/>
      <c r="HA25" s="562"/>
      <c r="HB25" s="562"/>
      <c r="HC25" s="562"/>
      <c r="HD25" s="562"/>
      <c r="HE25" s="562"/>
      <c r="HF25" s="562"/>
      <c r="HG25" s="562"/>
      <c r="HH25" s="562"/>
      <c r="HI25" s="562"/>
      <c r="HJ25" s="562"/>
      <c r="HK25" s="562"/>
      <c r="HL25" s="562"/>
      <c r="HM25" s="562"/>
      <c r="HN25" s="562"/>
      <c r="HO25" s="562"/>
      <c r="HP25" s="562"/>
      <c r="HQ25" s="562"/>
      <c r="HR25" s="562"/>
      <c r="HS25" s="562"/>
      <c r="HT25" s="562"/>
      <c r="HU25" s="562"/>
      <c r="HV25" s="562"/>
    </row>
    <row r="26" spans="1:230" ht="14.4" x14ac:dyDescent="0.3">
      <c r="A26" s="163" t="s">
        <v>491</v>
      </c>
      <c r="B26" s="565">
        <v>9.8309999999999995</v>
      </c>
      <c r="C26" s="587">
        <f t="shared" si="16"/>
        <v>5.1746190488722794</v>
      </c>
      <c r="D26" s="565">
        <v>11.167999999999999</v>
      </c>
      <c r="E26" s="587">
        <f t="shared" si="16"/>
        <v>5.0854480959167967</v>
      </c>
      <c r="F26" s="565">
        <v>12.593999999999999</v>
      </c>
      <c r="G26" s="587">
        <f t="shared" ref="G26" si="18">IF(F$30&lt;&gt;0,F26*100/F$30,"-")</f>
        <v>5.2310657351487402</v>
      </c>
      <c r="H26" s="564">
        <f t="shared" si="2"/>
        <v>112.76862464183381</v>
      </c>
      <c r="I26" s="562"/>
      <c r="J26" s="562"/>
      <c r="K26" s="562"/>
      <c r="L26" s="562"/>
      <c r="M26" s="562"/>
      <c r="N26" s="562"/>
      <c r="O26" s="562"/>
      <c r="P26" s="562"/>
      <c r="Q26" s="562"/>
      <c r="R26" s="562"/>
      <c r="S26" s="562"/>
      <c r="T26" s="562"/>
      <c r="U26" s="562"/>
      <c r="V26" s="562"/>
      <c r="W26" s="562"/>
      <c r="X26" s="562"/>
      <c r="Y26" s="562"/>
      <c r="Z26" s="562"/>
      <c r="AA26" s="562"/>
      <c r="AB26" s="562"/>
      <c r="AC26" s="562"/>
      <c r="AD26" s="562"/>
      <c r="AE26" s="562"/>
      <c r="AF26" s="562"/>
      <c r="AG26" s="562"/>
      <c r="AH26" s="562"/>
      <c r="AI26" s="562"/>
      <c r="AJ26" s="562"/>
      <c r="AK26" s="562"/>
      <c r="AL26" s="562"/>
      <c r="AM26" s="562"/>
      <c r="AN26" s="562"/>
      <c r="AO26" s="562"/>
      <c r="AP26" s="562"/>
      <c r="AQ26" s="562"/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2"/>
      <c r="BC26" s="562"/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2"/>
      <c r="BP26" s="562"/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 s="562"/>
      <c r="FX26" s="562"/>
      <c r="FY26" s="562"/>
      <c r="FZ26" s="562"/>
      <c r="GA26" s="562"/>
      <c r="GB26" s="562"/>
      <c r="GC26" s="562"/>
      <c r="GD26" s="562"/>
      <c r="GE26" s="562"/>
      <c r="GF26" s="562"/>
      <c r="GG26" s="562"/>
      <c r="GH26" s="562"/>
      <c r="GI26" s="562"/>
      <c r="GJ26" s="562"/>
      <c r="GK26" s="562"/>
      <c r="GL26" s="562"/>
      <c r="GM26" s="562"/>
      <c r="GN26" s="562"/>
      <c r="GO26" s="562"/>
      <c r="GP26" s="562"/>
      <c r="GQ26" s="562"/>
      <c r="GR26" s="562"/>
      <c r="GS26" s="562"/>
      <c r="GT26" s="562"/>
      <c r="GU26" s="562"/>
      <c r="GV26" s="562"/>
      <c r="GW26" s="562"/>
      <c r="GX26" s="562"/>
      <c r="GY26" s="562"/>
      <c r="GZ26" s="562"/>
      <c r="HA26" s="562"/>
      <c r="HB26" s="562"/>
      <c r="HC26" s="562"/>
      <c r="HD26" s="562"/>
      <c r="HE26" s="562"/>
      <c r="HF26" s="562"/>
      <c r="HG26" s="562"/>
      <c r="HH26" s="562"/>
      <c r="HI26" s="562"/>
      <c r="HJ26" s="562"/>
      <c r="HK26" s="562"/>
      <c r="HL26" s="562"/>
      <c r="HM26" s="562"/>
      <c r="HN26" s="562"/>
      <c r="HO26" s="562"/>
      <c r="HP26" s="562"/>
      <c r="HQ26" s="562"/>
      <c r="HR26" s="562"/>
      <c r="HS26" s="562"/>
      <c r="HT26" s="562"/>
      <c r="HU26" s="562"/>
      <c r="HV26" s="562"/>
    </row>
    <row r="27" spans="1:230" ht="14.4" x14ac:dyDescent="0.3">
      <c r="A27" s="163" t="s">
        <v>492</v>
      </c>
      <c r="B27" s="565">
        <v>127.621</v>
      </c>
      <c r="C27" s="587">
        <f t="shared" si="16"/>
        <v>67.17425059873149</v>
      </c>
      <c r="D27" s="565">
        <v>147.98400000000001</v>
      </c>
      <c r="E27" s="587">
        <f t="shared" si="16"/>
        <v>67.38583014202645</v>
      </c>
      <c r="F27" s="565">
        <v>165.49100000000001</v>
      </c>
      <c r="G27" s="587">
        <f t="shared" ref="G27" si="19">IF(F$30&lt;&gt;0,F27*100/F$30,"-")</f>
        <v>68.738629472407524</v>
      </c>
      <c r="H27" s="564">
        <f t="shared" si="2"/>
        <v>111.83033300897395</v>
      </c>
      <c r="I27" s="562"/>
      <c r="J27" s="562"/>
      <c r="K27" s="562"/>
      <c r="L27" s="562"/>
      <c r="M27" s="562"/>
      <c r="N27" s="562"/>
      <c r="O27" s="562"/>
      <c r="P27" s="562"/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2"/>
      <c r="AH27" s="562"/>
      <c r="AI27" s="562"/>
      <c r="AJ27" s="562"/>
      <c r="AK27" s="562"/>
      <c r="AL27" s="562"/>
      <c r="AM27" s="562"/>
      <c r="AN27" s="562"/>
      <c r="AO27" s="562"/>
      <c r="AP27" s="562"/>
      <c r="AQ27" s="562"/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2"/>
      <c r="BC27" s="562"/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2"/>
      <c r="BP27" s="562"/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 s="562"/>
      <c r="FX27" s="562"/>
      <c r="FY27" s="562"/>
      <c r="FZ27" s="562"/>
      <c r="GA27" s="562"/>
      <c r="GB27" s="562"/>
      <c r="GC27" s="562"/>
      <c r="GD27" s="562"/>
      <c r="GE27" s="562"/>
      <c r="GF27" s="562"/>
      <c r="GG27" s="562"/>
      <c r="GH27" s="562"/>
      <c r="GI27" s="562"/>
      <c r="GJ27" s="562"/>
      <c r="GK27" s="562"/>
      <c r="GL27" s="562"/>
      <c r="GM27" s="562"/>
      <c r="GN27" s="562"/>
      <c r="GO27" s="562"/>
      <c r="GP27" s="562"/>
      <c r="GQ27" s="562"/>
      <c r="GR27" s="562"/>
      <c r="GS27" s="562"/>
      <c r="GT27" s="562"/>
      <c r="GU27" s="562"/>
      <c r="GV27" s="562"/>
      <c r="GW27" s="562"/>
      <c r="GX27" s="562"/>
      <c r="GY27" s="562"/>
      <c r="GZ27" s="562"/>
      <c r="HA27" s="562"/>
      <c r="HB27" s="562"/>
      <c r="HC27" s="562"/>
      <c r="HD27" s="562"/>
      <c r="HE27" s="562"/>
      <c r="HF27" s="562"/>
      <c r="HG27" s="562"/>
      <c r="HH27" s="562"/>
      <c r="HI27" s="562"/>
      <c r="HJ27" s="562"/>
      <c r="HK27" s="562"/>
      <c r="HL27" s="562"/>
      <c r="HM27" s="562"/>
      <c r="HN27" s="562"/>
      <c r="HO27" s="562"/>
      <c r="HP27" s="562"/>
      <c r="HQ27" s="562"/>
      <c r="HR27" s="562"/>
      <c r="HS27" s="562"/>
      <c r="HT27" s="562"/>
      <c r="HU27" s="562"/>
      <c r="HV27" s="562"/>
    </row>
    <row r="28" spans="1:230" ht="14.4" x14ac:dyDescent="0.3">
      <c r="A28" s="163" t="s">
        <v>493</v>
      </c>
      <c r="B28" s="565">
        <v>0.19500000000000001</v>
      </c>
      <c r="C28" s="587">
        <f t="shared" si="16"/>
        <v>0.10263968208016423</v>
      </c>
      <c r="D28" s="565">
        <v>0.26200000000000001</v>
      </c>
      <c r="E28" s="587">
        <f t="shared" si="16"/>
        <v>0.11930402947082745</v>
      </c>
      <c r="F28" s="565">
        <v>0.28599999999999998</v>
      </c>
      <c r="G28" s="587">
        <f t="shared" ref="G28" si="20">IF(F$30&lt;&gt;0,F28*100/F$30,"-")</f>
        <v>0.11879345722189454</v>
      </c>
      <c r="H28" s="564">
        <f t="shared" si="2"/>
        <v>109.16030534351144</v>
      </c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2"/>
      <c r="AL28" s="562"/>
      <c r="AM28" s="562"/>
      <c r="AN28" s="562"/>
      <c r="AO28" s="562"/>
      <c r="AP28" s="562"/>
      <c r="AQ28" s="562"/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2"/>
      <c r="BC28" s="562"/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2"/>
      <c r="BP28" s="562"/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 s="562"/>
      <c r="FX28" s="562"/>
      <c r="FY28" s="562"/>
      <c r="FZ28" s="562"/>
      <c r="GA28" s="562"/>
      <c r="GB28" s="562"/>
      <c r="GC28" s="562"/>
      <c r="GD28" s="562"/>
      <c r="GE28" s="562"/>
      <c r="GF28" s="562"/>
      <c r="GG28" s="562"/>
      <c r="GH28" s="562"/>
      <c r="GI28" s="562"/>
      <c r="GJ28" s="562"/>
      <c r="GK28" s="562"/>
      <c r="GL28" s="562"/>
      <c r="GM28" s="562"/>
      <c r="GN28" s="562"/>
      <c r="GO28" s="562"/>
      <c r="GP28" s="562"/>
      <c r="GQ28" s="562"/>
      <c r="GR28" s="562"/>
      <c r="GS28" s="562"/>
      <c r="GT28" s="562"/>
      <c r="GU28" s="562"/>
      <c r="GV28" s="562"/>
      <c r="GW28" s="562"/>
      <c r="GX28" s="562"/>
      <c r="GY28" s="562"/>
      <c r="GZ28" s="562"/>
      <c r="HA28" s="562"/>
      <c r="HB28" s="562"/>
      <c r="HC28" s="562"/>
      <c r="HD28" s="562"/>
      <c r="HE28" s="562"/>
      <c r="HF28" s="562"/>
      <c r="HG28" s="562"/>
      <c r="HH28" s="562"/>
      <c r="HI28" s="562"/>
      <c r="HJ28" s="562"/>
      <c r="HK28" s="562"/>
      <c r="HL28" s="562"/>
      <c r="HM28" s="562"/>
      <c r="HN28" s="562"/>
      <c r="HO28" s="562"/>
      <c r="HP28" s="562"/>
      <c r="HQ28" s="562"/>
      <c r="HR28" s="562"/>
      <c r="HS28" s="562"/>
      <c r="HT28" s="562"/>
      <c r="HU28" s="562"/>
      <c r="HV28" s="562"/>
    </row>
    <row r="29" spans="1:230" ht="14.4" x14ac:dyDescent="0.3">
      <c r="A29" s="163" t="s">
        <v>494</v>
      </c>
      <c r="B29" s="565">
        <v>29.047000000000001</v>
      </c>
      <c r="C29" s="587">
        <f t="shared" si="16"/>
        <v>15.289101771192465</v>
      </c>
      <c r="D29" s="565">
        <v>32.119</v>
      </c>
      <c r="E29" s="587">
        <f t="shared" si="16"/>
        <v>14.625672223563001</v>
      </c>
      <c r="F29" s="565">
        <v>35.774000000000001</v>
      </c>
      <c r="G29" s="587">
        <f t="shared" ref="G29" si="21">IF(F$30&lt;&gt;0,F29*100/F$30,"-")</f>
        <v>14.859150834461731</v>
      </c>
      <c r="H29" s="564">
        <f t="shared" si="2"/>
        <v>111.37955727139699</v>
      </c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2"/>
      <c r="AH29" s="562"/>
      <c r="AI29" s="562"/>
      <c r="AJ29" s="562"/>
      <c r="AK29" s="562"/>
      <c r="AL29" s="562"/>
      <c r="AM29" s="562"/>
      <c r="AN29" s="562"/>
      <c r="AO29" s="562"/>
      <c r="AP29" s="562"/>
      <c r="AQ29" s="562"/>
      <c r="AR29" s="562"/>
      <c r="AS29" s="562"/>
      <c r="AT29" s="562"/>
      <c r="AU29" s="562"/>
      <c r="AV29" s="562"/>
      <c r="AW29" s="562"/>
      <c r="AX29" s="562"/>
      <c r="AY29" s="562"/>
      <c r="AZ29" s="562"/>
      <c r="BA29" s="562"/>
      <c r="BB29" s="562"/>
      <c r="BC29" s="562"/>
      <c r="BD29" s="562"/>
      <c r="BE29" s="562"/>
      <c r="BF29" s="562"/>
      <c r="BG29" s="562"/>
      <c r="BH29" s="562"/>
      <c r="BI29" s="562"/>
      <c r="BJ29" s="562"/>
      <c r="BK29" s="562"/>
      <c r="BL29" s="562"/>
      <c r="BM29" s="562"/>
      <c r="BN29" s="562"/>
      <c r="BO29" s="562"/>
      <c r="BP29" s="562"/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 s="562"/>
      <c r="FX29" s="562"/>
      <c r="FY29" s="562"/>
      <c r="FZ29" s="562"/>
      <c r="GA29" s="562"/>
      <c r="GB29" s="562"/>
      <c r="GC29" s="562"/>
      <c r="GD29" s="562"/>
      <c r="GE29" s="562"/>
      <c r="GF29" s="562"/>
      <c r="GG29" s="562"/>
      <c r="GH29" s="562"/>
      <c r="GI29" s="562"/>
      <c r="GJ29" s="562"/>
      <c r="GK29" s="562"/>
      <c r="GL29" s="562"/>
      <c r="GM29" s="562"/>
      <c r="GN29" s="562"/>
      <c r="GO29" s="562"/>
      <c r="GP29" s="562"/>
      <c r="GQ29" s="562"/>
      <c r="GR29" s="562"/>
      <c r="GS29" s="562"/>
      <c r="GT29" s="562"/>
      <c r="GU29" s="562"/>
      <c r="GV29" s="562"/>
      <c r="GW29" s="562"/>
      <c r="GX29" s="562"/>
      <c r="GY29" s="562"/>
      <c r="GZ29" s="562"/>
      <c r="HA29" s="562"/>
      <c r="HB29" s="562"/>
      <c r="HC29" s="562"/>
      <c r="HD29" s="562"/>
      <c r="HE29" s="562"/>
      <c r="HF29" s="562"/>
      <c r="HG29" s="562"/>
      <c r="HH29" s="562"/>
      <c r="HI29" s="562"/>
      <c r="HJ29" s="562"/>
      <c r="HK29" s="562"/>
      <c r="HL29" s="562"/>
      <c r="HM29" s="562"/>
      <c r="HN29" s="562"/>
      <c r="HO29" s="562"/>
      <c r="HP29" s="562"/>
      <c r="HQ29" s="562"/>
      <c r="HR29" s="562"/>
      <c r="HS29" s="562"/>
      <c r="HT29" s="562"/>
      <c r="HU29" s="562"/>
      <c r="HV29" s="562"/>
    </row>
    <row r="30" spans="1:230" ht="14.4" x14ac:dyDescent="0.3">
      <c r="A30" s="566" t="s">
        <v>495</v>
      </c>
      <c r="B30" s="567">
        <f t="shared" ref="B30:G30" si="22">SUM(B24:B29)</f>
        <v>189.98499999999999</v>
      </c>
      <c r="C30" s="588">
        <f t="shared" si="22"/>
        <v>100.00000000000001</v>
      </c>
      <c r="D30" s="567">
        <f t="shared" si="22"/>
        <v>219.607</v>
      </c>
      <c r="E30" s="588">
        <f t="shared" si="22"/>
        <v>100.00000000000001</v>
      </c>
      <c r="F30" s="567">
        <f t="shared" si="22"/>
        <v>240.75400000000002</v>
      </c>
      <c r="G30" s="588">
        <f t="shared" si="22"/>
        <v>100</v>
      </c>
      <c r="H30" s="564">
        <f t="shared" si="2"/>
        <v>109.62947447030378</v>
      </c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2"/>
      <c r="AH30" s="562"/>
      <c r="AI30" s="562"/>
      <c r="AJ30" s="562"/>
      <c r="AK30" s="562"/>
      <c r="AL30" s="562"/>
      <c r="AM30" s="562"/>
      <c r="AN30" s="562"/>
      <c r="AO30" s="562"/>
      <c r="AP30" s="562"/>
      <c r="AQ30" s="562"/>
      <c r="AR30" s="562"/>
      <c r="AS30" s="562"/>
      <c r="AT30" s="562"/>
      <c r="AU30" s="562"/>
      <c r="AV30" s="562"/>
      <c r="AW30" s="562"/>
      <c r="AX30" s="562"/>
      <c r="AY30" s="562"/>
      <c r="AZ30" s="562"/>
      <c r="BA30" s="562"/>
      <c r="BB30" s="562"/>
      <c r="BC30" s="562"/>
      <c r="BD30" s="562"/>
      <c r="BE30" s="562"/>
      <c r="BF30" s="562"/>
      <c r="BG30" s="562"/>
      <c r="BH30" s="562"/>
      <c r="BI30" s="562"/>
      <c r="BJ30" s="562"/>
      <c r="BK30" s="562"/>
      <c r="BL30" s="562"/>
      <c r="BM30" s="562"/>
      <c r="BN30" s="562"/>
      <c r="BO30" s="562"/>
      <c r="BP30" s="562"/>
      <c r="BQ30" s="562"/>
      <c r="BR30" s="562"/>
      <c r="BS30" s="562"/>
      <c r="BT30" s="562"/>
      <c r="BU30" s="562"/>
      <c r="BV30" s="562"/>
      <c r="BW30" s="562"/>
      <c r="BX30" s="562"/>
      <c r="BY30" s="562"/>
      <c r="BZ30" s="562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 s="562"/>
      <c r="FX30" s="562"/>
      <c r="FY30" s="562"/>
      <c r="FZ30" s="562"/>
      <c r="GA30" s="562"/>
      <c r="GB30" s="562"/>
      <c r="GC30" s="562"/>
      <c r="GD30" s="562"/>
      <c r="GE30" s="562"/>
      <c r="GF30" s="562"/>
      <c r="GG30" s="562"/>
      <c r="GH30" s="562"/>
      <c r="GI30" s="562"/>
      <c r="GJ30" s="562"/>
      <c r="GK30" s="562"/>
      <c r="GL30" s="562"/>
      <c r="GM30" s="562"/>
      <c r="GN30" s="562"/>
      <c r="GO30" s="562"/>
      <c r="GP30" s="562"/>
      <c r="GQ30" s="562"/>
      <c r="GR30" s="562"/>
      <c r="GS30" s="562"/>
      <c r="GT30" s="562"/>
      <c r="GU30" s="562"/>
      <c r="GV30" s="562"/>
      <c r="GW30" s="562"/>
      <c r="GX30" s="562"/>
      <c r="GY30" s="562"/>
      <c r="GZ30" s="562"/>
      <c r="HA30" s="562"/>
      <c r="HB30" s="562"/>
      <c r="HC30" s="562"/>
      <c r="HD30" s="562"/>
      <c r="HE30" s="562"/>
      <c r="HF30" s="562"/>
      <c r="HG30" s="562"/>
      <c r="HH30" s="562"/>
      <c r="HI30" s="562"/>
      <c r="HJ30" s="562"/>
      <c r="HK30" s="562"/>
      <c r="HL30" s="562"/>
      <c r="HM30" s="562"/>
      <c r="HN30" s="562"/>
      <c r="HO30" s="562"/>
      <c r="HP30" s="562"/>
      <c r="HQ30" s="562"/>
      <c r="HR30" s="562"/>
      <c r="HS30" s="562"/>
      <c r="HT30" s="562"/>
      <c r="HU30" s="562"/>
      <c r="HV30" s="562"/>
    </row>
    <row r="31" spans="1:230" ht="14.4" x14ac:dyDescent="0.3">
      <c r="A31" s="566" t="s">
        <v>496</v>
      </c>
      <c r="B31" s="565"/>
      <c r="C31" s="589"/>
      <c r="D31" s="565"/>
      <c r="E31" s="589"/>
      <c r="F31" s="565"/>
      <c r="G31" s="589"/>
      <c r="H31" s="564" t="str">
        <f t="shared" si="2"/>
        <v>-</v>
      </c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2"/>
      <c r="X31" s="562"/>
      <c r="Y31" s="562"/>
      <c r="Z31" s="562"/>
      <c r="AA31" s="562"/>
      <c r="AB31" s="562"/>
      <c r="AC31" s="562"/>
      <c r="AD31" s="562"/>
      <c r="AE31" s="562"/>
      <c r="AF31" s="562"/>
      <c r="AG31" s="562"/>
      <c r="AH31" s="562"/>
      <c r="AI31" s="562"/>
      <c r="AJ31" s="562"/>
      <c r="AK31" s="562"/>
      <c r="AL31" s="562"/>
      <c r="AM31" s="562"/>
      <c r="AN31" s="562"/>
      <c r="AO31" s="562"/>
      <c r="AP31" s="562"/>
      <c r="AQ31" s="562"/>
      <c r="AR31" s="562"/>
      <c r="AS31" s="562"/>
      <c r="AT31" s="562"/>
      <c r="AU31" s="562"/>
      <c r="AV31" s="562"/>
      <c r="AW31" s="562"/>
      <c r="AX31" s="562"/>
      <c r="AY31" s="562"/>
      <c r="AZ31" s="562"/>
      <c r="BA31" s="562"/>
      <c r="BB31" s="562"/>
      <c r="BC31" s="562"/>
      <c r="BD31" s="562"/>
      <c r="BE31" s="562"/>
      <c r="BF31" s="562"/>
      <c r="BG31" s="562"/>
      <c r="BH31" s="562"/>
      <c r="BI31" s="562"/>
      <c r="BJ31" s="562"/>
      <c r="BK31" s="562"/>
      <c r="BL31" s="562"/>
      <c r="BM31" s="562"/>
      <c r="BN31" s="562"/>
      <c r="BO31" s="562"/>
      <c r="BP31" s="562"/>
      <c r="BQ31" s="562"/>
      <c r="BR31" s="562"/>
      <c r="BS31" s="562"/>
      <c r="BT31" s="562"/>
      <c r="BU31" s="562"/>
      <c r="BV31" s="562"/>
      <c r="BW31" s="562"/>
      <c r="BX31" s="562"/>
      <c r="BY31" s="562"/>
      <c r="BZ31" s="562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 s="562"/>
      <c r="FX31" s="562"/>
      <c r="FY31" s="562"/>
      <c r="FZ31" s="562"/>
      <c r="GA31" s="562"/>
      <c r="GB31" s="562"/>
      <c r="GC31" s="562"/>
      <c r="GD31" s="562"/>
      <c r="GE31" s="562"/>
      <c r="GF31" s="562"/>
      <c r="GG31" s="562"/>
      <c r="GH31" s="562"/>
      <c r="GI31" s="562"/>
      <c r="GJ31" s="562"/>
      <c r="GK31" s="562"/>
      <c r="GL31" s="562"/>
      <c r="GM31" s="562"/>
      <c r="GN31" s="562"/>
      <c r="GO31" s="562"/>
      <c r="GP31" s="562"/>
      <c r="GQ31" s="562"/>
      <c r="GR31" s="562"/>
      <c r="GS31" s="562"/>
      <c r="GT31" s="562"/>
      <c r="GU31" s="562"/>
      <c r="GV31" s="562"/>
      <c r="GW31" s="562"/>
      <c r="GX31" s="562"/>
      <c r="GY31" s="562"/>
      <c r="GZ31" s="562"/>
      <c r="HA31" s="562"/>
      <c r="HB31" s="562"/>
      <c r="HC31" s="562"/>
      <c r="HD31" s="562"/>
      <c r="HE31" s="562"/>
      <c r="HF31" s="562"/>
      <c r="HG31" s="562"/>
      <c r="HH31" s="562"/>
      <c r="HI31" s="562"/>
      <c r="HJ31" s="562"/>
      <c r="HK31" s="562"/>
      <c r="HL31" s="562"/>
      <c r="HM31" s="562"/>
      <c r="HN31" s="562"/>
      <c r="HO31" s="562"/>
      <c r="HP31" s="562"/>
      <c r="HQ31" s="562"/>
      <c r="HR31" s="562"/>
      <c r="HS31" s="562"/>
      <c r="HT31" s="562"/>
      <c r="HU31" s="562"/>
      <c r="HV31" s="562"/>
    </row>
    <row r="32" spans="1:230" ht="14.4" x14ac:dyDescent="0.3">
      <c r="A32" s="163" t="s">
        <v>211</v>
      </c>
      <c r="B32" s="565"/>
      <c r="C32" s="589"/>
      <c r="D32" s="565"/>
      <c r="E32" s="589"/>
      <c r="F32" s="565"/>
      <c r="G32" s="589"/>
      <c r="H32" s="564" t="str">
        <f t="shared" si="2"/>
        <v>-</v>
      </c>
      <c r="I32" s="562"/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562"/>
      <c r="AK32" s="562"/>
      <c r="AL32" s="562"/>
      <c r="AM32" s="562"/>
      <c r="AN32" s="562"/>
      <c r="AO32" s="562"/>
      <c r="AP32" s="562"/>
      <c r="AQ32" s="562"/>
      <c r="AR32" s="562"/>
      <c r="AS32" s="562"/>
      <c r="AT32" s="562"/>
      <c r="AU32" s="562"/>
      <c r="AV32" s="562"/>
      <c r="AW32" s="562"/>
      <c r="AX32" s="562"/>
      <c r="AY32" s="562"/>
      <c r="AZ32" s="562"/>
      <c r="BA32" s="562"/>
      <c r="BB32" s="562"/>
      <c r="BC32" s="562"/>
      <c r="BD32" s="562"/>
      <c r="BE32" s="562"/>
      <c r="BF32" s="562"/>
      <c r="BG32" s="562"/>
      <c r="BH32" s="562"/>
      <c r="BI32" s="562"/>
      <c r="BJ32" s="562"/>
      <c r="BK32" s="562"/>
      <c r="BL32" s="562"/>
      <c r="BM32" s="562"/>
      <c r="BN32" s="562"/>
      <c r="BO32" s="562"/>
      <c r="BP32" s="562"/>
      <c r="BQ32" s="562"/>
      <c r="BR32" s="562"/>
      <c r="BS32" s="562"/>
      <c r="BT32" s="562"/>
      <c r="BU32" s="562"/>
      <c r="BV32" s="562"/>
      <c r="BW32" s="562"/>
      <c r="BX32" s="562"/>
      <c r="BY32" s="562"/>
      <c r="BZ32" s="56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 s="562"/>
      <c r="FX32" s="562"/>
      <c r="FY32" s="562"/>
      <c r="FZ32" s="562"/>
      <c r="GA32" s="562"/>
      <c r="GB32" s="562"/>
      <c r="GC32" s="562"/>
      <c r="GD32" s="562"/>
      <c r="GE32" s="562"/>
      <c r="GF32" s="562"/>
      <c r="GG32" s="562"/>
      <c r="GH32" s="562"/>
      <c r="GI32" s="562"/>
      <c r="GJ32" s="562"/>
      <c r="GK32" s="562"/>
      <c r="GL32" s="562"/>
      <c r="GM32" s="562"/>
      <c r="GN32" s="562"/>
      <c r="GO32" s="562"/>
      <c r="GP32" s="562"/>
      <c r="GQ32" s="562"/>
      <c r="GR32" s="562"/>
      <c r="GS32" s="562"/>
      <c r="GT32" s="562"/>
      <c r="GU32" s="562"/>
      <c r="GV32" s="562"/>
      <c r="GW32" s="562"/>
      <c r="GX32" s="562"/>
      <c r="GY32" s="562"/>
      <c r="GZ32" s="562"/>
      <c r="HA32" s="562"/>
      <c r="HB32" s="562"/>
      <c r="HC32" s="562"/>
      <c r="HD32" s="562"/>
      <c r="HE32" s="562"/>
      <c r="HF32" s="562"/>
      <c r="HG32" s="562"/>
      <c r="HH32" s="562"/>
      <c r="HI32" s="562"/>
      <c r="HJ32" s="562"/>
      <c r="HK32" s="562"/>
      <c r="HL32" s="562"/>
      <c r="HM32" s="562"/>
      <c r="HN32" s="562"/>
      <c r="HO32" s="562"/>
      <c r="HP32" s="562"/>
      <c r="HQ32" s="562"/>
      <c r="HR32" s="562"/>
      <c r="HS32" s="562"/>
      <c r="HT32" s="562"/>
      <c r="HU32" s="562"/>
      <c r="HV32" s="562"/>
    </row>
    <row r="33" spans="1:230" ht="14.4" x14ac:dyDescent="0.3">
      <c r="A33" s="163" t="s">
        <v>497</v>
      </c>
      <c r="B33" s="565">
        <v>25.004999999999999</v>
      </c>
      <c r="C33" s="589"/>
      <c r="D33" s="565">
        <v>44.819000000000003</v>
      </c>
      <c r="E33" s="589"/>
      <c r="F33" s="565">
        <v>47.103000000000002</v>
      </c>
      <c r="G33" s="589"/>
      <c r="H33" s="564">
        <f t="shared" si="2"/>
        <v>105.096053013231</v>
      </c>
      <c r="I33" s="562"/>
      <c r="J33" s="562"/>
      <c r="K33" s="562"/>
      <c r="L33" s="562"/>
      <c r="M33" s="562"/>
      <c r="N33" s="562"/>
      <c r="O33" s="562"/>
      <c r="P33" s="562"/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2"/>
      <c r="AH33" s="562"/>
      <c r="AI33" s="562"/>
      <c r="AJ33" s="562"/>
      <c r="AK33" s="562"/>
      <c r="AL33" s="562"/>
      <c r="AM33" s="562"/>
      <c r="AN33" s="562"/>
      <c r="AO33" s="562"/>
      <c r="AP33" s="562"/>
      <c r="AQ33" s="562"/>
      <c r="AR33" s="562"/>
      <c r="AS33" s="562"/>
      <c r="AT33" s="562"/>
      <c r="AU33" s="562"/>
      <c r="AV33" s="562"/>
      <c r="AW33" s="562"/>
      <c r="AX33" s="562"/>
      <c r="AY33" s="562"/>
      <c r="AZ33" s="562"/>
      <c r="BA33" s="562"/>
      <c r="BB33" s="562"/>
      <c r="BC33" s="562"/>
      <c r="BD33" s="562"/>
      <c r="BE33" s="562"/>
      <c r="BF33" s="562"/>
      <c r="BG33" s="562"/>
      <c r="BH33" s="562"/>
      <c r="BI33" s="562"/>
      <c r="BJ33" s="562"/>
      <c r="BK33" s="562"/>
      <c r="BL33" s="562"/>
      <c r="BM33" s="562"/>
      <c r="BN33" s="562"/>
      <c r="BO33" s="562"/>
      <c r="BP33" s="562"/>
      <c r="BQ33" s="562"/>
      <c r="BR33" s="562"/>
      <c r="BS33" s="562"/>
      <c r="BT33" s="562"/>
      <c r="BU33" s="562"/>
      <c r="BV33" s="562"/>
      <c r="BW33" s="562"/>
      <c r="BX33" s="562"/>
      <c r="BY33" s="562"/>
      <c r="BZ33" s="562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 s="562"/>
      <c r="FX33" s="562"/>
      <c r="FY33" s="562"/>
      <c r="FZ33" s="562"/>
      <c r="GA33" s="562"/>
      <c r="GB33" s="562"/>
      <c r="GC33" s="562"/>
      <c r="GD33" s="562"/>
      <c r="GE33" s="562"/>
      <c r="GF33" s="562"/>
      <c r="GG33" s="562"/>
      <c r="GH33" s="562"/>
      <c r="GI33" s="562"/>
      <c r="GJ33" s="562"/>
      <c r="GK33" s="562"/>
      <c r="GL33" s="562"/>
      <c r="GM33" s="562"/>
      <c r="GN33" s="562"/>
      <c r="GO33" s="562"/>
      <c r="GP33" s="562"/>
      <c r="GQ33" s="562"/>
      <c r="GR33" s="562"/>
      <c r="GS33" s="562"/>
      <c r="GT33" s="562"/>
      <c r="GU33" s="562"/>
      <c r="GV33" s="562"/>
      <c r="GW33" s="562"/>
      <c r="GX33" s="562"/>
      <c r="GY33" s="562"/>
      <c r="GZ33" s="562"/>
      <c r="HA33" s="562"/>
      <c r="HB33" s="562"/>
      <c r="HC33" s="562"/>
      <c r="HD33" s="562"/>
      <c r="HE33" s="562"/>
      <c r="HF33" s="562"/>
      <c r="HG33" s="562"/>
      <c r="HH33" s="562"/>
      <c r="HI33" s="562"/>
      <c r="HJ33" s="562"/>
      <c r="HK33" s="562"/>
      <c r="HL33" s="562"/>
      <c r="HM33" s="562"/>
      <c r="HN33" s="562"/>
      <c r="HO33" s="562"/>
      <c r="HP33" s="562"/>
      <c r="HQ33" s="562"/>
      <c r="HR33" s="562"/>
      <c r="HS33" s="562"/>
      <c r="HT33" s="562"/>
      <c r="HU33" s="562"/>
      <c r="HV33" s="562"/>
    </row>
    <row r="34" spans="1:230" ht="14.4" x14ac:dyDescent="0.3">
      <c r="A34" s="163" t="s">
        <v>498</v>
      </c>
      <c r="B34" s="565">
        <v>44.84</v>
      </c>
      <c r="C34" s="589"/>
      <c r="D34" s="565">
        <v>51.668999999999997</v>
      </c>
      <c r="E34" s="589"/>
      <c r="F34" s="565">
        <v>57.168999999999997</v>
      </c>
      <c r="G34" s="589"/>
      <c r="H34" s="564">
        <f t="shared" si="2"/>
        <v>110.64468056281329</v>
      </c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562"/>
      <c r="AA34" s="562"/>
      <c r="AB34" s="562"/>
      <c r="AC34" s="562"/>
      <c r="AD34" s="562"/>
      <c r="AE34" s="562"/>
      <c r="AF34" s="562"/>
      <c r="AG34" s="562"/>
      <c r="AH34" s="562"/>
      <c r="AI34" s="562"/>
      <c r="AJ34" s="562"/>
      <c r="AK34" s="562"/>
      <c r="AL34" s="562"/>
      <c r="AM34" s="562"/>
      <c r="AN34" s="562"/>
      <c r="AO34" s="562"/>
      <c r="AP34" s="562"/>
      <c r="AQ34" s="562"/>
      <c r="AR34" s="562"/>
      <c r="AS34" s="562"/>
      <c r="AT34" s="562"/>
      <c r="AU34" s="562"/>
      <c r="AV34" s="562"/>
      <c r="AW34" s="562"/>
      <c r="AX34" s="562"/>
      <c r="AY34" s="562"/>
      <c r="AZ34" s="562"/>
      <c r="BA34" s="562"/>
      <c r="BB34" s="562"/>
      <c r="BC34" s="562"/>
      <c r="BD34" s="562"/>
      <c r="BE34" s="562"/>
      <c r="BF34" s="562"/>
      <c r="BG34" s="562"/>
      <c r="BH34" s="562"/>
      <c r="BI34" s="562"/>
      <c r="BJ34" s="562"/>
      <c r="BK34" s="562"/>
      <c r="BL34" s="562"/>
      <c r="BM34" s="562"/>
      <c r="BN34" s="562"/>
      <c r="BO34" s="562"/>
      <c r="BP34" s="562"/>
      <c r="BQ34" s="562"/>
      <c r="BR34" s="562"/>
      <c r="BS34" s="562"/>
      <c r="BT34" s="562"/>
      <c r="BU34" s="562"/>
      <c r="BV34" s="562"/>
      <c r="BW34" s="562"/>
      <c r="BX34" s="562"/>
      <c r="BY34" s="562"/>
      <c r="BZ34" s="562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 s="562"/>
      <c r="FX34" s="562"/>
      <c r="FY34" s="562"/>
      <c r="FZ34" s="562"/>
      <c r="GA34" s="562"/>
      <c r="GB34" s="562"/>
      <c r="GC34" s="562"/>
      <c r="GD34" s="562"/>
      <c r="GE34" s="562"/>
      <c r="GF34" s="562"/>
      <c r="GG34" s="562"/>
      <c r="GH34" s="562"/>
      <c r="GI34" s="562"/>
      <c r="GJ34" s="562"/>
      <c r="GK34" s="562"/>
      <c r="GL34" s="562"/>
      <c r="GM34" s="562"/>
      <c r="GN34" s="562"/>
      <c r="GO34" s="562"/>
      <c r="GP34" s="562"/>
      <c r="GQ34" s="562"/>
      <c r="GR34" s="562"/>
      <c r="GS34" s="562"/>
      <c r="GT34" s="562"/>
      <c r="GU34" s="562"/>
      <c r="GV34" s="562"/>
      <c r="GW34" s="562"/>
      <c r="GX34" s="562"/>
      <c r="GY34" s="562"/>
      <c r="GZ34" s="562"/>
      <c r="HA34" s="562"/>
      <c r="HB34" s="562"/>
      <c r="HC34" s="562"/>
      <c r="HD34" s="562"/>
      <c r="HE34" s="562"/>
      <c r="HF34" s="562"/>
      <c r="HG34" s="562"/>
      <c r="HH34" s="562"/>
      <c r="HI34" s="562"/>
      <c r="HJ34" s="562"/>
      <c r="HK34" s="562"/>
      <c r="HL34" s="562"/>
      <c r="HM34" s="562"/>
      <c r="HN34" s="562"/>
      <c r="HO34" s="562"/>
      <c r="HP34" s="562"/>
      <c r="HQ34" s="562"/>
      <c r="HR34" s="562"/>
      <c r="HS34" s="562"/>
      <c r="HT34" s="562"/>
      <c r="HU34" s="562"/>
      <c r="HV34" s="562"/>
    </row>
    <row r="35" spans="1:230" ht="14.4" x14ac:dyDescent="0.3">
      <c r="A35" s="566" t="s">
        <v>499</v>
      </c>
      <c r="B35" s="567">
        <f>+B33+B34</f>
        <v>69.844999999999999</v>
      </c>
      <c r="C35" s="590"/>
      <c r="D35" s="567">
        <f>+D33+D34</f>
        <v>96.488</v>
      </c>
      <c r="E35" s="590"/>
      <c r="F35" s="567">
        <f>+F33+F34</f>
        <v>104.27199999999999</v>
      </c>
      <c r="G35" s="590"/>
      <c r="H35" s="564">
        <f t="shared" si="2"/>
        <v>108.06732443412652</v>
      </c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562"/>
      <c r="AJ35" s="562"/>
      <c r="AK35" s="562"/>
      <c r="AL35" s="562"/>
      <c r="AM35" s="562"/>
      <c r="AN35" s="562"/>
      <c r="AO35" s="562"/>
      <c r="AP35" s="562"/>
      <c r="AQ35" s="562"/>
      <c r="AR35" s="562"/>
      <c r="AS35" s="562"/>
      <c r="AT35" s="562"/>
      <c r="AU35" s="562"/>
      <c r="AV35" s="562"/>
      <c r="AW35" s="562"/>
      <c r="AX35" s="562"/>
      <c r="AY35" s="562"/>
      <c r="AZ35" s="562"/>
      <c r="BA35" s="562"/>
      <c r="BB35" s="562"/>
      <c r="BC35" s="562"/>
      <c r="BD35" s="562"/>
      <c r="BE35" s="562"/>
      <c r="BF35" s="562"/>
      <c r="BG35" s="562"/>
      <c r="BH35" s="562"/>
      <c r="BI35" s="562"/>
      <c r="BJ35" s="562"/>
      <c r="BK35" s="562"/>
      <c r="BL35" s="562"/>
      <c r="BM35" s="562"/>
      <c r="BN35" s="562"/>
      <c r="BO35" s="562"/>
      <c r="BP35" s="562"/>
      <c r="BQ35" s="562"/>
      <c r="BR35" s="562"/>
      <c r="BS35" s="562"/>
      <c r="BT35" s="562"/>
      <c r="BU35" s="562"/>
      <c r="BV35" s="562"/>
      <c r="BW35" s="562"/>
      <c r="BX35" s="562"/>
      <c r="BY35" s="562"/>
      <c r="BZ35" s="562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 s="562"/>
      <c r="FX35" s="562"/>
      <c r="FY35" s="562"/>
      <c r="FZ35" s="562"/>
      <c r="GA35" s="562"/>
      <c r="GB35" s="562"/>
      <c r="GC35" s="562"/>
      <c r="GD35" s="562"/>
      <c r="GE35" s="562"/>
      <c r="GF35" s="562"/>
      <c r="GG35" s="562"/>
      <c r="GH35" s="562"/>
      <c r="GI35" s="562"/>
      <c r="GJ35" s="562"/>
      <c r="GK35" s="562"/>
      <c r="GL35" s="562"/>
      <c r="GM35" s="562"/>
      <c r="GN35" s="562"/>
      <c r="GO35" s="562"/>
      <c r="GP35" s="562"/>
      <c r="GQ35" s="562"/>
      <c r="GR35" s="562"/>
      <c r="GS35" s="562"/>
      <c r="GT35" s="562"/>
      <c r="GU35" s="562"/>
      <c r="GV35" s="562"/>
      <c r="GW35" s="562"/>
      <c r="GX35" s="562"/>
      <c r="GY35" s="562"/>
      <c r="GZ35" s="562"/>
      <c r="HA35" s="562"/>
      <c r="HB35" s="562"/>
      <c r="HC35" s="562"/>
      <c r="HD35" s="562"/>
      <c r="HE35" s="562"/>
      <c r="HF35" s="562"/>
      <c r="HG35" s="562"/>
      <c r="HH35" s="562"/>
      <c r="HI35" s="562"/>
      <c r="HJ35" s="562"/>
      <c r="HK35" s="562"/>
      <c r="HL35" s="562"/>
      <c r="HM35" s="562"/>
      <c r="HN35" s="562"/>
      <c r="HO35" s="562"/>
      <c r="HP35" s="562"/>
      <c r="HQ35" s="562"/>
      <c r="HR35" s="562"/>
      <c r="HS35" s="562"/>
      <c r="HT35" s="562"/>
      <c r="HU35" s="562"/>
      <c r="HV35" s="562"/>
    </row>
    <row r="36" spans="1:230" ht="14.4" x14ac:dyDescent="0.3">
      <c r="A36" s="163" t="s">
        <v>212</v>
      </c>
      <c r="B36" s="565"/>
      <c r="C36" s="589"/>
      <c r="D36" s="565"/>
      <c r="E36" s="589"/>
      <c r="F36" s="565"/>
      <c r="G36" s="589"/>
      <c r="H36" s="564" t="str">
        <f t="shared" si="2"/>
        <v>-</v>
      </c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2"/>
      <c r="AA36" s="562"/>
      <c r="AB36" s="562"/>
      <c r="AC36" s="562"/>
      <c r="AD36" s="562"/>
      <c r="AE36" s="562"/>
      <c r="AF36" s="562"/>
      <c r="AG36" s="562"/>
      <c r="AH36" s="562"/>
      <c r="AI36" s="562"/>
      <c r="AJ36" s="562"/>
      <c r="AK36" s="562"/>
      <c r="AL36" s="562"/>
      <c r="AM36" s="562"/>
      <c r="AN36" s="562"/>
      <c r="AO36" s="562"/>
      <c r="AP36" s="562"/>
      <c r="AQ36" s="562"/>
      <c r="AR36" s="562"/>
      <c r="AS36" s="562"/>
      <c r="AT36" s="562"/>
      <c r="AU36" s="562"/>
      <c r="AV36" s="562"/>
      <c r="AW36" s="562"/>
      <c r="AX36" s="562"/>
      <c r="AY36" s="562"/>
      <c r="AZ36" s="562"/>
      <c r="BA36" s="562"/>
      <c r="BB36" s="562"/>
      <c r="BC36" s="562"/>
      <c r="BD36" s="562"/>
      <c r="BE36" s="562"/>
      <c r="BF36" s="562"/>
      <c r="BG36" s="562"/>
      <c r="BH36" s="562"/>
      <c r="BI36" s="562"/>
      <c r="BJ36" s="562"/>
      <c r="BK36" s="562"/>
      <c r="BL36" s="562"/>
      <c r="BM36" s="562"/>
      <c r="BN36" s="562"/>
      <c r="BO36" s="562"/>
      <c r="BP36" s="562"/>
      <c r="BQ36" s="562"/>
      <c r="BR36" s="562"/>
      <c r="BS36" s="562"/>
      <c r="BT36" s="562"/>
      <c r="BU36" s="562"/>
      <c r="BV36" s="562"/>
      <c r="BW36" s="562"/>
      <c r="BX36" s="562"/>
      <c r="BY36" s="562"/>
      <c r="BZ36" s="562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 s="562"/>
      <c r="FX36" s="562"/>
      <c r="FY36" s="562"/>
      <c r="FZ36" s="562"/>
      <c r="GA36" s="562"/>
      <c r="GB36" s="562"/>
      <c r="GC36" s="562"/>
      <c r="GD36" s="562"/>
      <c r="GE36" s="562"/>
      <c r="GF36" s="562"/>
      <c r="GG36" s="562"/>
      <c r="GH36" s="562"/>
      <c r="GI36" s="562"/>
      <c r="GJ36" s="562"/>
      <c r="GK36" s="562"/>
      <c r="GL36" s="562"/>
      <c r="GM36" s="562"/>
      <c r="GN36" s="562"/>
      <c r="GO36" s="562"/>
      <c r="GP36" s="562"/>
      <c r="GQ36" s="562"/>
      <c r="GR36" s="562"/>
      <c r="GS36" s="562"/>
      <c r="GT36" s="562"/>
      <c r="GU36" s="562"/>
      <c r="GV36" s="562"/>
      <c r="GW36" s="562"/>
      <c r="GX36" s="562"/>
      <c r="GY36" s="562"/>
      <c r="GZ36" s="562"/>
      <c r="HA36" s="562"/>
      <c r="HB36" s="562"/>
      <c r="HC36" s="562"/>
      <c r="HD36" s="562"/>
      <c r="HE36" s="562"/>
      <c r="HF36" s="562"/>
      <c r="HG36" s="562"/>
      <c r="HH36" s="562"/>
      <c r="HI36" s="562"/>
      <c r="HJ36" s="562"/>
      <c r="HK36" s="562"/>
      <c r="HL36" s="562"/>
      <c r="HM36" s="562"/>
      <c r="HN36" s="562"/>
      <c r="HO36" s="562"/>
      <c r="HP36" s="562"/>
      <c r="HQ36" s="562"/>
      <c r="HR36" s="562"/>
      <c r="HS36" s="562"/>
      <c r="HT36" s="562"/>
      <c r="HU36" s="562"/>
      <c r="HV36" s="562"/>
    </row>
    <row r="37" spans="1:230" ht="14.4" x14ac:dyDescent="0.3">
      <c r="A37" s="163" t="s">
        <v>500</v>
      </c>
      <c r="B37" s="565">
        <v>104.011</v>
      </c>
      <c r="C37" s="589"/>
      <c r="D37" s="565">
        <v>110.285</v>
      </c>
      <c r="E37" s="589"/>
      <c r="F37" s="565">
        <v>120.209</v>
      </c>
      <c r="G37" s="589"/>
      <c r="H37" s="564">
        <f t="shared" si="2"/>
        <v>108.99850387632044</v>
      </c>
      <c r="I37" s="562"/>
      <c r="J37" s="562"/>
      <c r="K37" s="562"/>
      <c r="L37" s="562"/>
      <c r="M37" s="562"/>
      <c r="N37" s="562"/>
      <c r="O37" s="562"/>
      <c r="P37" s="562"/>
      <c r="Q37" s="562"/>
      <c r="R37" s="562"/>
      <c r="S37" s="562"/>
      <c r="T37" s="562"/>
      <c r="U37" s="562"/>
      <c r="V37" s="562"/>
      <c r="W37" s="562"/>
      <c r="X37" s="562"/>
      <c r="Y37" s="562"/>
      <c r="Z37" s="562"/>
      <c r="AA37" s="562"/>
      <c r="AB37" s="562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2"/>
      <c r="AS37" s="562"/>
      <c r="AT37" s="562"/>
      <c r="AU37" s="562"/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2"/>
      <c r="BL37" s="562"/>
      <c r="BM37" s="562"/>
      <c r="BN37" s="562"/>
      <c r="BO37" s="562"/>
      <c r="BP37" s="562"/>
      <c r="BQ37" s="562"/>
      <c r="BR37" s="562"/>
      <c r="BS37" s="562"/>
      <c r="BT37" s="562"/>
      <c r="BU37" s="562"/>
      <c r="BV37" s="562"/>
      <c r="BW37" s="562"/>
      <c r="BX37" s="562"/>
      <c r="BY37" s="562"/>
      <c r="BZ37" s="562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 s="562"/>
      <c r="FX37" s="562"/>
      <c r="FY37" s="562"/>
      <c r="FZ37" s="562"/>
      <c r="GA37" s="562"/>
      <c r="GB37" s="562"/>
      <c r="GC37" s="562"/>
      <c r="GD37" s="562"/>
      <c r="GE37" s="562"/>
      <c r="GF37" s="562"/>
      <c r="GG37" s="562"/>
      <c r="GH37" s="562"/>
      <c r="GI37" s="562"/>
      <c r="GJ37" s="562"/>
      <c r="GK37" s="562"/>
      <c r="GL37" s="562"/>
      <c r="GM37" s="562"/>
      <c r="GN37" s="562"/>
      <c r="GO37" s="562"/>
      <c r="GP37" s="562"/>
      <c r="GQ37" s="562"/>
      <c r="GR37" s="562"/>
      <c r="GS37" s="562"/>
      <c r="GT37" s="562"/>
      <c r="GU37" s="562"/>
      <c r="GV37" s="562"/>
      <c r="GW37" s="562"/>
      <c r="GX37" s="562"/>
      <c r="GY37" s="562"/>
      <c r="GZ37" s="562"/>
      <c r="HA37" s="562"/>
      <c r="HB37" s="562"/>
      <c r="HC37" s="562"/>
      <c r="HD37" s="562"/>
      <c r="HE37" s="562"/>
      <c r="HF37" s="562"/>
      <c r="HG37" s="562"/>
      <c r="HH37" s="562"/>
      <c r="HI37" s="562"/>
      <c r="HJ37" s="562"/>
      <c r="HK37" s="562"/>
      <c r="HL37" s="562"/>
      <c r="HM37" s="562"/>
      <c r="HN37" s="562"/>
      <c r="HO37" s="562"/>
      <c r="HP37" s="562"/>
      <c r="HQ37" s="562"/>
      <c r="HR37" s="562"/>
      <c r="HS37" s="562"/>
      <c r="HT37" s="562"/>
      <c r="HU37" s="562"/>
      <c r="HV37" s="562"/>
    </row>
    <row r="38" spans="1:230" ht="14.4" x14ac:dyDescent="0.3">
      <c r="A38" s="163" t="s">
        <v>501</v>
      </c>
      <c r="B38" s="565">
        <v>72.257000000000005</v>
      </c>
      <c r="C38" s="589"/>
      <c r="D38" s="565">
        <v>72.938000000000002</v>
      </c>
      <c r="E38" s="589"/>
      <c r="F38" s="565">
        <v>73.013999999999996</v>
      </c>
      <c r="G38" s="589"/>
      <c r="H38" s="564">
        <f t="shared" si="2"/>
        <v>100.10419808604567</v>
      </c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2"/>
      <c r="AH38" s="562"/>
      <c r="AI38" s="562"/>
      <c r="AJ38" s="562"/>
      <c r="AK38" s="562"/>
      <c r="AL38" s="562"/>
      <c r="AM38" s="562"/>
      <c r="AN38" s="562"/>
      <c r="AO38" s="562"/>
      <c r="AP38" s="562"/>
      <c r="AQ38" s="562"/>
      <c r="AR38" s="562"/>
      <c r="AS38" s="562"/>
      <c r="AT38" s="562"/>
      <c r="AU38" s="562"/>
      <c r="AV38" s="562"/>
      <c r="AW38" s="562"/>
      <c r="AX38" s="562"/>
      <c r="AY38" s="562"/>
      <c r="AZ38" s="562"/>
      <c r="BA38" s="562"/>
      <c r="BB38" s="562"/>
      <c r="BC38" s="562"/>
      <c r="BD38" s="562"/>
      <c r="BE38" s="562"/>
      <c r="BF38" s="562"/>
      <c r="BG38" s="562"/>
      <c r="BH38" s="562"/>
      <c r="BI38" s="562"/>
      <c r="BJ38" s="562"/>
      <c r="BK38" s="562"/>
      <c r="BL38" s="562"/>
      <c r="BM38" s="562"/>
      <c r="BN38" s="562"/>
      <c r="BO38" s="562"/>
      <c r="BP38" s="562"/>
      <c r="BQ38" s="562"/>
      <c r="BR38" s="562"/>
      <c r="BS38" s="562"/>
      <c r="BT38" s="562"/>
      <c r="BU38" s="562"/>
      <c r="BV38" s="562"/>
      <c r="BW38" s="562"/>
      <c r="BX38" s="562"/>
      <c r="BY38" s="562"/>
      <c r="BZ38" s="562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 s="562"/>
      <c r="FX38" s="562"/>
      <c r="FY38" s="562"/>
      <c r="FZ38" s="562"/>
      <c r="GA38" s="562"/>
      <c r="GB38" s="562"/>
      <c r="GC38" s="562"/>
      <c r="GD38" s="562"/>
      <c r="GE38" s="562"/>
      <c r="GF38" s="562"/>
      <c r="GG38" s="562"/>
      <c r="GH38" s="562"/>
      <c r="GI38" s="562"/>
      <c r="GJ38" s="562"/>
      <c r="GK38" s="562"/>
      <c r="GL38" s="562"/>
      <c r="GM38" s="562"/>
      <c r="GN38" s="562"/>
      <c r="GO38" s="562"/>
      <c r="GP38" s="562"/>
      <c r="GQ38" s="562"/>
      <c r="GR38" s="562"/>
      <c r="GS38" s="562"/>
      <c r="GT38" s="562"/>
      <c r="GU38" s="562"/>
      <c r="GV38" s="562"/>
      <c r="GW38" s="562"/>
      <c r="GX38" s="562"/>
      <c r="GY38" s="562"/>
      <c r="GZ38" s="562"/>
      <c r="HA38" s="562"/>
      <c r="HB38" s="562"/>
      <c r="HC38" s="562"/>
      <c r="HD38" s="562"/>
      <c r="HE38" s="562"/>
      <c r="HF38" s="562"/>
      <c r="HG38" s="562"/>
      <c r="HH38" s="562"/>
      <c r="HI38" s="562"/>
      <c r="HJ38" s="562"/>
      <c r="HK38" s="562"/>
      <c r="HL38" s="562"/>
      <c r="HM38" s="562"/>
      <c r="HN38" s="562"/>
      <c r="HO38" s="562"/>
      <c r="HP38" s="562"/>
      <c r="HQ38" s="562"/>
      <c r="HR38" s="562"/>
      <c r="HS38" s="562"/>
      <c r="HT38" s="562"/>
      <c r="HU38" s="562"/>
      <c r="HV38" s="562"/>
    </row>
    <row r="39" spans="1:230" ht="14.4" x14ac:dyDescent="0.3">
      <c r="A39" s="163" t="s">
        <v>502</v>
      </c>
      <c r="B39" s="565">
        <v>69.450999999999993</v>
      </c>
      <c r="C39" s="589"/>
      <c r="D39" s="565">
        <v>66.22</v>
      </c>
      <c r="E39" s="589"/>
      <c r="F39" s="565">
        <v>86.876999999999995</v>
      </c>
      <c r="G39" s="589"/>
      <c r="H39" s="564">
        <f t="shared" si="2"/>
        <v>131.19450317124733</v>
      </c>
      <c r="I39" s="562"/>
      <c r="J39" s="562"/>
      <c r="K39" s="562"/>
      <c r="L39" s="562"/>
      <c r="M39" s="562"/>
      <c r="N39" s="562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562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562"/>
      <c r="AK39" s="562"/>
      <c r="AL39" s="562"/>
      <c r="AM39" s="562"/>
      <c r="AN39" s="562"/>
      <c r="AO39" s="562"/>
      <c r="AP39" s="562"/>
      <c r="AQ39" s="562"/>
      <c r="AR39" s="562"/>
      <c r="AS39" s="562"/>
      <c r="AT39" s="562"/>
      <c r="AU39" s="562"/>
      <c r="AV39" s="562"/>
      <c r="AW39" s="562"/>
      <c r="AX39" s="562"/>
      <c r="AY39" s="562"/>
      <c r="AZ39" s="562"/>
      <c r="BA39" s="562"/>
      <c r="BB39" s="562"/>
      <c r="BC39" s="562"/>
      <c r="BD39" s="562"/>
      <c r="BE39" s="562"/>
      <c r="BF39" s="562"/>
      <c r="BG39" s="562"/>
      <c r="BH39" s="562"/>
      <c r="BI39" s="562"/>
      <c r="BJ39" s="562"/>
      <c r="BK39" s="562"/>
      <c r="BL39" s="562"/>
      <c r="BM39" s="562"/>
      <c r="BN39" s="562"/>
      <c r="BO39" s="562"/>
      <c r="BP39" s="562"/>
      <c r="BQ39" s="562"/>
      <c r="BR39" s="562"/>
      <c r="BS39" s="562"/>
      <c r="BT39" s="562"/>
      <c r="BU39" s="562"/>
      <c r="BV39" s="562"/>
      <c r="BW39" s="562"/>
      <c r="BX39" s="562"/>
      <c r="BY39" s="562"/>
      <c r="BZ39" s="562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 s="562"/>
      <c r="FX39" s="562"/>
      <c r="FY39" s="562"/>
      <c r="FZ39" s="562"/>
      <c r="GA39" s="562"/>
      <c r="GB39" s="562"/>
      <c r="GC39" s="562"/>
      <c r="GD39" s="562"/>
      <c r="GE39" s="562"/>
      <c r="GF39" s="562"/>
      <c r="GG39" s="562"/>
      <c r="GH39" s="562"/>
      <c r="GI39" s="562"/>
      <c r="GJ39" s="562"/>
      <c r="GK39" s="562"/>
      <c r="GL39" s="562"/>
      <c r="GM39" s="562"/>
      <c r="GN39" s="562"/>
      <c r="GO39" s="562"/>
      <c r="GP39" s="562"/>
      <c r="GQ39" s="562"/>
      <c r="GR39" s="562"/>
      <c r="GS39" s="562"/>
      <c r="GT39" s="562"/>
      <c r="GU39" s="562"/>
      <c r="GV39" s="562"/>
      <c r="GW39" s="562"/>
      <c r="GX39" s="562"/>
      <c r="GY39" s="562"/>
      <c r="GZ39" s="562"/>
      <c r="HA39" s="562"/>
      <c r="HB39" s="562"/>
      <c r="HC39" s="562"/>
      <c r="HD39" s="562"/>
      <c r="HE39" s="562"/>
      <c r="HF39" s="562"/>
      <c r="HG39" s="562"/>
      <c r="HH39" s="562"/>
      <c r="HI39" s="562"/>
      <c r="HJ39" s="562"/>
      <c r="HK39" s="562"/>
      <c r="HL39" s="562"/>
      <c r="HM39" s="562"/>
      <c r="HN39" s="562"/>
      <c r="HO39" s="562"/>
      <c r="HP39" s="562"/>
      <c r="HQ39" s="562"/>
      <c r="HR39" s="562"/>
      <c r="HS39" s="562"/>
      <c r="HT39" s="562"/>
      <c r="HU39" s="562"/>
      <c r="HV39" s="562"/>
    </row>
    <row r="40" spans="1:230" ht="14.4" x14ac:dyDescent="0.3">
      <c r="A40" s="566" t="s">
        <v>503</v>
      </c>
      <c r="B40" s="567">
        <f>SUM(B37:B39)</f>
        <v>245.71899999999999</v>
      </c>
      <c r="C40" s="590"/>
      <c r="D40" s="567">
        <f>SUM(D37:D39)</f>
        <v>249.44300000000001</v>
      </c>
      <c r="E40" s="590"/>
      <c r="F40" s="567">
        <f>SUM(F37:F39)</f>
        <v>280.10000000000002</v>
      </c>
      <c r="G40" s="590"/>
      <c r="H40" s="564">
        <f t="shared" si="2"/>
        <v>112.29018252666943</v>
      </c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562"/>
      <c r="AC40" s="562"/>
      <c r="AD40" s="562"/>
      <c r="AE40" s="562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2"/>
      <c r="AR40" s="562"/>
      <c r="AS40" s="562"/>
      <c r="AT40" s="562"/>
      <c r="AU40" s="562"/>
      <c r="AV40" s="562"/>
      <c r="AW40" s="562"/>
      <c r="AX40" s="562"/>
      <c r="AY40" s="562"/>
      <c r="AZ40" s="562"/>
      <c r="BA40" s="562"/>
      <c r="BB40" s="562"/>
      <c r="BC40" s="562"/>
      <c r="BD40" s="562"/>
      <c r="BE40" s="562"/>
      <c r="BF40" s="562"/>
      <c r="BG40" s="562"/>
      <c r="BH40" s="562"/>
      <c r="BI40" s="562"/>
      <c r="BJ40" s="562"/>
      <c r="BK40" s="562"/>
      <c r="BL40" s="562"/>
      <c r="BM40" s="562"/>
      <c r="BN40" s="562"/>
      <c r="BO40" s="562"/>
      <c r="BP40" s="562"/>
      <c r="BQ40" s="562"/>
      <c r="BR40" s="562"/>
      <c r="BS40" s="562"/>
      <c r="BT40" s="562"/>
      <c r="BU40" s="562"/>
      <c r="BV40" s="562"/>
      <c r="BW40" s="562"/>
      <c r="BX40" s="562"/>
      <c r="BY40" s="562"/>
      <c r="BZ40" s="562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 s="562"/>
      <c r="FX40" s="562"/>
      <c r="FY40" s="562"/>
      <c r="FZ40" s="562"/>
      <c r="GA40" s="562"/>
      <c r="GB40" s="562"/>
      <c r="GC40" s="562"/>
      <c r="GD40" s="562"/>
      <c r="GE40" s="562"/>
      <c r="GF40" s="562"/>
      <c r="GG40" s="562"/>
      <c r="GH40" s="562"/>
      <c r="GI40" s="562"/>
      <c r="GJ40" s="562"/>
      <c r="GK40" s="562"/>
      <c r="GL40" s="562"/>
      <c r="GM40" s="562"/>
      <c r="GN40" s="562"/>
      <c r="GO40" s="562"/>
      <c r="GP40" s="562"/>
      <c r="GQ40" s="562"/>
      <c r="GR40" s="562"/>
      <c r="GS40" s="562"/>
      <c r="GT40" s="562"/>
      <c r="GU40" s="562"/>
      <c r="GV40" s="562"/>
      <c r="GW40" s="562"/>
      <c r="GX40" s="562"/>
      <c r="GY40" s="562"/>
      <c r="GZ40" s="562"/>
      <c r="HA40" s="562"/>
      <c r="HB40" s="562"/>
      <c r="HC40" s="562"/>
      <c r="HD40" s="562"/>
      <c r="HE40" s="562"/>
      <c r="HF40" s="562"/>
      <c r="HG40" s="562"/>
      <c r="HH40" s="562"/>
      <c r="HI40" s="562"/>
      <c r="HJ40" s="562"/>
      <c r="HK40" s="562"/>
      <c r="HL40" s="562"/>
      <c r="HM40" s="562"/>
      <c r="HN40" s="562"/>
      <c r="HO40" s="562"/>
      <c r="HP40" s="562"/>
      <c r="HQ40" s="562"/>
      <c r="HR40" s="562"/>
      <c r="HS40" s="562"/>
      <c r="HT40" s="562"/>
      <c r="HU40" s="562"/>
      <c r="HV40" s="562"/>
    </row>
    <row r="41" spans="1:230" ht="14.4" x14ac:dyDescent="0.3">
      <c r="A41" s="566" t="s">
        <v>504</v>
      </c>
      <c r="B41" s="567">
        <f>+B35+B40</f>
        <v>315.56399999999996</v>
      </c>
      <c r="C41" s="590"/>
      <c r="D41" s="567">
        <f>+D35+D40</f>
        <v>345.93100000000004</v>
      </c>
      <c r="E41" s="590"/>
      <c r="F41" s="567">
        <f>+F35+F40</f>
        <v>384.37200000000001</v>
      </c>
      <c r="G41" s="590"/>
      <c r="H41" s="564">
        <f t="shared" si="2"/>
        <v>111.11233164995332</v>
      </c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62"/>
      <c r="X41" s="562"/>
      <c r="Y41" s="562"/>
      <c r="Z41" s="562"/>
      <c r="AA41" s="562"/>
      <c r="AB41" s="562"/>
      <c r="AC41" s="562"/>
      <c r="AD41" s="562"/>
      <c r="AE41" s="562"/>
      <c r="AF41" s="562"/>
      <c r="AG41" s="562"/>
      <c r="AH41" s="562"/>
      <c r="AI41" s="562"/>
      <c r="AJ41" s="562"/>
      <c r="AK41" s="562"/>
      <c r="AL41" s="562"/>
      <c r="AM41" s="562"/>
      <c r="AN41" s="562"/>
      <c r="AO41" s="562"/>
      <c r="AP41" s="562"/>
      <c r="AQ41" s="562"/>
      <c r="AR41" s="562"/>
      <c r="AS41" s="562"/>
      <c r="AT41" s="562"/>
      <c r="AU41" s="562"/>
      <c r="AV41" s="562"/>
      <c r="AW41" s="562"/>
      <c r="AX41" s="562"/>
      <c r="AY41" s="562"/>
      <c r="AZ41" s="562"/>
      <c r="BA41" s="562"/>
      <c r="BB41" s="562"/>
      <c r="BC41" s="562"/>
      <c r="BD41" s="562"/>
      <c r="BE41" s="562"/>
      <c r="BF41" s="562"/>
      <c r="BG41" s="562"/>
      <c r="BH41" s="562"/>
      <c r="BI41" s="562"/>
      <c r="BJ41" s="562"/>
      <c r="BK41" s="562"/>
      <c r="BL41" s="562"/>
      <c r="BM41" s="562"/>
      <c r="BN41" s="562"/>
      <c r="BO41" s="562"/>
      <c r="BP41" s="562"/>
      <c r="BQ41" s="562"/>
      <c r="BR41" s="562"/>
      <c r="BS41" s="562"/>
      <c r="BT41" s="562"/>
      <c r="BU41" s="562"/>
      <c r="BV41" s="562"/>
      <c r="BW41" s="562"/>
      <c r="BX41" s="562"/>
      <c r="BY41" s="562"/>
      <c r="BZ41" s="562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 s="562"/>
      <c r="FX41" s="562"/>
      <c r="FY41" s="562"/>
      <c r="FZ41" s="562"/>
      <c r="GA41" s="562"/>
      <c r="GB41" s="562"/>
      <c r="GC41" s="562"/>
      <c r="GD41" s="562"/>
      <c r="GE41" s="562"/>
      <c r="GF41" s="562"/>
      <c r="GG41" s="562"/>
      <c r="GH41" s="562"/>
      <c r="GI41" s="562"/>
      <c r="GJ41" s="562"/>
      <c r="GK41" s="562"/>
      <c r="GL41" s="562"/>
      <c r="GM41" s="562"/>
      <c r="GN41" s="562"/>
      <c r="GO41" s="562"/>
      <c r="GP41" s="562"/>
      <c r="GQ41" s="562"/>
      <c r="GR41" s="562"/>
      <c r="GS41" s="562"/>
      <c r="GT41" s="562"/>
      <c r="GU41" s="562"/>
      <c r="GV41" s="562"/>
      <c r="GW41" s="562"/>
      <c r="GX41" s="562"/>
      <c r="GY41" s="562"/>
      <c r="GZ41" s="562"/>
      <c r="HA41" s="562"/>
      <c r="HB41" s="562"/>
      <c r="HC41" s="562"/>
      <c r="HD41" s="562"/>
      <c r="HE41" s="562"/>
      <c r="HF41" s="562"/>
      <c r="HG41" s="562"/>
      <c r="HH41" s="562"/>
      <c r="HI41" s="562"/>
      <c r="HJ41" s="562"/>
      <c r="HK41" s="562"/>
      <c r="HL41" s="562"/>
      <c r="HM41" s="562"/>
      <c r="HN41" s="562"/>
      <c r="HO41" s="562"/>
      <c r="HP41" s="562"/>
      <c r="HQ41" s="562"/>
      <c r="HR41" s="562"/>
      <c r="HS41" s="562"/>
      <c r="HT41" s="562"/>
      <c r="HU41" s="562"/>
      <c r="HV41" s="562"/>
    </row>
    <row r="42" spans="1:230" ht="14.4" x14ac:dyDescent="0.3">
      <c r="A42" s="566" t="s">
        <v>505</v>
      </c>
      <c r="B42" s="567">
        <v>132.37100000000001</v>
      </c>
      <c r="C42" s="590"/>
      <c r="D42" s="567">
        <v>152.9</v>
      </c>
      <c r="E42" s="590"/>
      <c r="F42" s="567">
        <v>209.03399999999999</v>
      </c>
      <c r="G42" s="590"/>
      <c r="H42" s="564">
        <f t="shared" si="2"/>
        <v>136.71288423806408</v>
      </c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562"/>
      <c r="W42" s="562"/>
      <c r="X42" s="562"/>
      <c r="Y42" s="562"/>
      <c r="Z42" s="562"/>
      <c r="AA42" s="562"/>
      <c r="AB42" s="562"/>
      <c r="AC42" s="562"/>
      <c r="AD42" s="562"/>
      <c r="AE42" s="562"/>
      <c r="AF42" s="562"/>
      <c r="AG42" s="562"/>
      <c r="AH42" s="562"/>
      <c r="AI42" s="562"/>
      <c r="AJ42" s="562"/>
      <c r="AK42" s="562"/>
      <c r="AL42" s="562"/>
      <c r="AM42" s="562"/>
      <c r="AN42" s="562"/>
      <c r="AO42" s="562"/>
      <c r="AP42" s="562"/>
      <c r="AQ42" s="562"/>
      <c r="AR42" s="562"/>
      <c r="AS42" s="562"/>
      <c r="AT42" s="562"/>
      <c r="AU42" s="562"/>
      <c r="AV42" s="562"/>
      <c r="AW42" s="562"/>
      <c r="AX42" s="562"/>
      <c r="AY42" s="562"/>
      <c r="AZ42" s="562"/>
      <c r="BA42" s="562"/>
      <c r="BB42" s="562"/>
      <c r="BC42" s="562"/>
      <c r="BD42" s="562"/>
      <c r="BE42" s="562"/>
      <c r="BF42" s="562"/>
      <c r="BG42" s="562"/>
      <c r="BH42" s="562"/>
      <c r="BI42" s="562"/>
      <c r="BJ42" s="562"/>
      <c r="BK42" s="562"/>
      <c r="BL42" s="562"/>
      <c r="BM42" s="562"/>
      <c r="BN42" s="562"/>
      <c r="BO42" s="562"/>
      <c r="BP42" s="562"/>
      <c r="BQ42" s="562"/>
      <c r="BR42" s="562"/>
      <c r="BS42" s="562"/>
      <c r="BT42" s="562"/>
      <c r="BU42" s="562"/>
      <c r="BV42" s="562"/>
      <c r="BW42" s="562"/>
      <c r="BX42" s="562"/>
      <c r="BY42" s="562"/>
      <c r="BZ42" s="56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 s="562"/>
      <c r="FX42" s="562"/>
      <c r="FY42" s="562"/>
      <c r="FZ42" s="562"/>
      <c r="GA42" s="562"/>
      <c r="GB42" s="562"/>
      <c r="GC42" s="562"/>
      <c r="GD42" s="562"/>
      <c r="GE42" s="562"/>
      <c r="GF42" s="562"/>
      <c r="GG42" s="562"/>
      <c r="GH42" s="562"/>
      <c r="GI42" s="562"/>
      <c r="GJ42" s="562"/>
      <c r="GK42" s="562"/>
      <c r="GL42" s="562"/>
      <c r="GM42" s="562"/>
      <c r="GN42" s="562"/>
      <c r="GO42" s="562"/>
      <c r="GP42" s="562"/>
      <c r="GQ42" s="562"/>
      <c r="GR42" s="562"/>
      <c r="GS42" s="562"/>
      <c r="GT42" s="562"/>
      <c r="GU42" s="562"/>
      <c r="GV42" s="562"/>
      <c r="GW42" s="562"/>
      <c r="GX42" s="562"/>
      <c r="GY42" s="562"/>
      <c r="GZ42" s="562"/>
      <c r="HA42" s="562"/>
      <c r="HB42" s="562"/>
      <c r="HC42" s="562"/>
      <c r="HD42" s="562"/>
      <c r="HE42" s="562"/>
      <c r="HF42" s="562"/>
      <c r="HG42" s="562"/>
      <c r="HH42" s="562"/>
      <c r="HI42" s="562"/>
      <c r="HJ42" s="562"/>
      <c r="HK42" s="562"/>
      <c r="HL42" s="562"/>
      <c r="HM42" s="562"/>
      <c r="HN42" s="562"/>
      <c r="HO42" s="562"/>
      <c r="HP42" s="562"/>
      <c r="HQ42" s="562"/>
      <c r="HR42" s="562"/>
      <c r="HS42" s="562"/>
      <c r="HT42" s="562"/>
      <c r="HU42" s="562"/>
      <c r="HV42" s="562"/>
    </row>
    <row r="43" spans="1:230" ht="14.4" x14ac:dyDescent="0.3">
      <c r="A43" s="163" t="s">
        <v>506</v>
      </c>
      <c r="B43" s="565">
        <v>7.7110000000000003</v>
      </c>
      <c r="C43" s="589"/>
      <c r="D43" s="565">
        <v>0</v>
      </c>
      <c r="E43" s="589"/>
      <c r="F43" s="565">
        <v>0</v>
      </c>
      <c r="G43" s="589"/>
      <c r="H43" s="564" t="str">
        <f t="shared" si="2"/>
        <v>-</v>
      </c>
      <c r="I43" s="562"/>
      <c r="J43" s="562"/>
      <c r="K43" s="562"/>
      <c r="L43" s="562"/>
      <c r="M43" s="562"/>
      <c r="N43" s="562"/>
      <c r="O43" s="562"/>
      <c r="P43" s="562"/>
      <c r="Q43" s="562"/>
      <c r="R43" s="562"/>
      <c r="S43" s="562"/>
      <c r="T43" s="562"/>
      <c r="U43" s="562"/>
      <c r="V43" s="562"/>
      <c r="W43" s="562"/>
      <c r="X43" s="562"/>
      <c r="Y43" s="562"/>
      <c r="Z43" s="562"/>
      <c r="AA43" s="562"/>
      <c r="AB43" s="562"/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2"/>
      <c r="AR43" s="562"/>
      <c r="AS43" s="562"/>
      <c r="AT43" s="562"/>
      <c r="AU43" s="562"/>
      <c r="AV43" s="562"/>
      <c r="AW43" s="562"/>
      <c r="AX43" s="562"/>
      <c r="AY43" s="562"/>
      <c r="AZ43" s="562"/>
      <c r="BA43" s="562"/>
      <c r="BB43" s="562"/>
      <c r="BC43" s="562"/>
      <c r="BD43" s="562"/>
      <c r="BE43" s="562"/>
      <c r="BF43" s="562"/>
      <c r="BG43" s="562"/>
      <c r="BH43" s="562"/>
      <c r="BI43" s="562"/>
      <c r="BJ43" s="562"/>
      <c r="BK43" s="562"/>
      <c r="BL43" s="562"/>
      <c r="BM43" s="562"/>
      <c r="BN43" s="562"/>
      <c r="BO43" s="562"/>
      <c r="BP43" s="562"/>
      <c r="BQ43" s="562"/>
      <c r="BR43" s="562"/>
      <c r="BS43" s="562"/>
      <c r="BT43" s="562"/>
      <c r="BU43" s="562"/>
      <c r="BV43" s="562"/>
      <c r="BW43" s="562"/>
      <c r="BX43" s="562"/>
      <c r="BY43" s="562"/>
      <c r="BZ43" s="562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 s="562"/>
      <c r="FX43" s="562"/>
      <c r="FY43" s="562"/>
      <c r="FZ43" s="562"/>
      <c r="GA43" s="562"/>
      <c r="GB43" s="562"/>
      <c r="GC43" s="562"/>
      <c r="GD43" s="562"/>
      <c r="GE43" s="562"/>
      <c r="GF43" s="562"/>
      <c r="GG43" s="562"/>
      <c r="GH43" s="562"/>
      <c r="GI43" s="562"/>
      <c r="GJ43" s="562"/>
      <c r="GK43" s="562"/>
      <c r="GL43" s="562"/>
      <c r="GM43" s="562"/>
      <c r="GN43" s="562"/>
      <c r="GO43" s="562"/>
      <c r="GP43" s="562"/>
      <c r="GQ43" s="562"/>
      <c r="GR43" s="562"/>
      <c r="GS43" s="562"/>
      <c r="GT43" s="562"/>
      <c r="GU43" s="562"/>
      <c r="GV43" s="562"/>
      <c r="GW43" s="562"/>
      <c r="GX43" s="562"/>
      <c r="GY43" s="562"/>
      <c r="GZ43" s="562"/>
      <c r="HA43" s="562"/>
      <c r="HB43" s="562"/>
      <c r="HC43" s="562"/>
      <c r="HD43" s="562"/>
      <c r="HE43" s="562"/>
      <c r="HF43" s="562"/>
      <c r="HG43" s="562"/>
      <c r="HH43" s="562"/>
      <c r="HI43" s="562"/>
      <c r="HJ43" s="562"/>
      <c r="HK43" s="562"/>
      <c r="HL43" s="562"/>
      <c r="HM43" s="562"/>
      <c r="HN43" s="562"/>
      <c r="HO43" s="562"/>
      <c r="HP43" s="562"/>
      <c r="HQ43" s="562"/>
      <c r="HR43" s="562"/>
      <c r="HS43" s="562"/>
      <c r="HT43" s="562"/>
      <c r="HU43" s="562"/>
      <c r="HV43" s="562"/>
    </row>
    <row r="44" spans="1:230" ht="14.4" x14ac:dyDescent="0.3">
      <c r="A44" s="163" t="s">
        <v>213</v>
      </c>
      <c r="B44" s="565">
        <v>10.438000000000001</v>
      </c>
      <c r="C44" s="589"/>
      <c r="D44" s="565">
        <v>13.276</v>
      </c>
      <c r="E44" s="589"/>
      <c r="F44" s="565">
        <v>19.667999999999999</v>
      </c>
      <c r="G44" s="589"/>
      <c r="H44" s="564">
        <f t="shared" si="2"/>
        <v>148.14703223862608</v>
      </c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2"/>
      <c r="AN44" s="562"/>
      <c r="AO44" s="562"/>
      <c r="AP44" s="562"/>
      <c r="AQ44" s="562"/>
      <c r="AR44" s="562"/>
      <c r="AS44" s="562"/>
      <c r="AT44" s="562"/>
      <c r="AU44" s="562"/>
      <c r="AV44" s="562"/>
      <c r="AW44" s="562"/>
      <c r="AX44" s="562"/>
      <c r="AY44" s="562"/>
      <c r="AZ44" s="562"/>
      <c r="BA44" s="562"/>
      <c r="BB44" s="562"/>
      <c r="BC44" s="562"/>
      <c r="BD44" s="562"/>
      <c r="BE44" s="562"/>
      <c r="BF44" s="562"/>
      <c r="BG44" s="562"/>
      <c r="BH44" s="562"/>
      <c r="BI44" s="562"/>
      <c r="BJ44" s="562"/>
      <c r="BK44" s="562"/>
      <c r="BL44" s="562"/>
      <c r="BM44" s="562"/>
      <c r="BN44" s="562"/>
      <c r="BO44" s="562"/>
      <c r="BP44" s="562"/>
      <c r="BQ44" s="562"/>
      <c r="BR44" s="562"/>
      <c r="BS44" s="562"/>
      <c r="BT44" s="562"/>
      <c r="BU44" s="562"/>
      <c r="BV44" s="562"/>
      <c r="BW44" s="562"/>
      <c r="BX44" s="562"/>
      <c r="BY44" s="562"/>
      <c r="BZ44" s="562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 s="562"/>
      <c r="FX44" s="562"/>
      <c r="FY44" s="562"/>
      <c r="FZ44" s="562"/>
      <c r="GA44" s="562"/>
      <c r="GB44" s="562"/>
      <c r="GC44" s="562"/>
      <c r="GD44" s="562"/>
      <c r="GE44" s="562"/>
      <c r="GF44" s="562"/>
      <c r="GG44" s="562"/>
      <c r="GH44" s="562"/>
      <c r="GI44" s="562"/>
      <c r="GJ44" s="562"/>
      <c r="GK44" s="562"/>
      <c r="GL44" s="562"/>
      <c r="GM44" s="562"/>
      <c r="GN44" s="562"/>
      <c r="GO44" s="562"/>
      <c r="GP44" s="562"/>
      <c r="GQ44" s="562"/>
      <c r="GR44" s="562"/>
      <c r="GS44" s="562"/>
      <c r="GT44" s="562"/>
      <c r="GU44" s="562"/>
      <c r="GV44" s="562"/>
      <c r="GW44" s="562"/>
      <c r="GX44" s="562"/>
      <c r="GY44" s="562"/>
      <c r="GZ44" s="562"/>
      <c r="HA44" s="562"/>
      <c r="HB44" s="562"/>
      <c r="HC44" s="562"/>
      <c r="HD44" s="562"/>
      <c r="HE44" s="562"/>
      <c r="HF44" s="562"/>
      <c r="HG44" s="562"/>
      <c r="HH44" s="562"/>
      <c r="HI44" s="562"/>
      <c r="HJ44" s="562"/>
      <c r="HK44" s="562"/>
      <c r="HL44" s="562"/>
      <c r="HM44" s="562"/>
      <c r="HN44" s="562"/>
      <c r="HO44" s="562"/>
      <c r="HP44" s="562"/>
      <c r="HQ44" s="562"/>
      <c r="HR44" s="562"/>
      <c r="HS44" s="562"/>
      <c r="HT44" s="562"/>
      <c r="HU44" s="562"/>
      <c r="HV44" s="562"/>
    </row>
    <row r="45" spans="1:230" ht="14.4" x14ac:dyDescent="0.3">
      <c r="A45" s="163" t="s">
        <v>507</v>
      </c>
      <c r="B45" s="565">
        <v>2.5369999999999999</v>
      </c>
      <c r="C45" s="589"/>
      <c r="D45" s="565">
        <v>0.81200000000000006</v>
      </c>
      <c r="E45" s="589"/>
      <c r="F45" s="565">
        <v>1.29</v>
      </c>
      <c r="G45" s="589"/>
      <c r="H45" s="564">
        <f t="shared" si="2"/>
        <v>158.86699507389162</v>
      </c>
      <c r="I45" s="562"/>
      <c r="J45" s="562"/>
      <c r="K45" s="562"/>
      <c r="L45" s="562"/>
      <c r="M45" s="562"/>
      <c r="N45" s="562"/>
      <c r="O45" s="562"/>
      <c r="P45" s="562"/>
      <c r="Q45" s="562"/>
      <c r="R45" s="562"/>
      <c r="S45" s="562"/>
      <c r="T45" s="562"/>
      <c r="U45" s="562"/>
      <c r="V45" s="562"/>
      <c r="W45" s="562"/>
      <c r="X45" s="562"/>
      <c r="Y45" s="562"/>
      <c r="Z45" s="562"/>
      <c r="AA45" s="562"/>
      <c r="AB45" s="562"/>
      <c r="AC45" s="562"/>
      <c r="AD45" s="562"/>
      <c r="AE45" s="562"/>
      <c r="AF45" s="562"/>
      <c r="AG45" s="562"/>
      <c r="AH45" s="562"/>
      <c r="AI45" s="562"/>
      <c r="AJ45" s="562"/>
      <c r="AK45" s="562"/>
      <c r="AL45" s="562"/>
      <c r="AM45" s="562"/>
      <c r="AN45" s="562"/>
      <c r="AO45" s="562"/>
      <c r="AP45" s="562"/>
      <c r="AQ45" s="562"/>
      <c r="AR45" s="562"/>
      <c r="AS45" s="562"/>
      <c r="AT45" s="562"/>
      <c r="AU45" s="562"/>
      <c r="AV45" s="562"/>
      <c r="AW45" s="562"/>
      <c r="AX45" s="562"/>
      <c r="AY45" s="562"/>
      <c r="AZ45" s="562"/>
      <c r="BA45" s="562"/>
      <c r="BB45" s="562"/>
      <c r="BC45" s="562"/>
      <c r="BD45" s="562"/>
      <c r="BE45" s="562"/>
      <c r="BF45" s="562"/>
      <c r="BG45" s="562"/>
      <c r="BH45" s="562"/>
      <c r="BI45" s="562"/>
      <c r="BJ45" s="562"/>
      <c r="BK45" s="562"/>
      <c r="BL45" s="562"/>
      <c r="BM45" s="562"/>
      <c r="BN45" s="562"/>
      <c r="BO45" s="562"/>
      <c r="BP45" s="562"/>
      <c r="BQ45" s="562"/>
      <c r="BR45" s="562"/>
      <c r="BS45" s="562"/>
      <c r="BT45" s="562"/>
      <c r="BU45" s="562"/>
      <c r="BV45" s="562"/>
      <c r="BW45" s="562"/>
      <c r="BX45" s="562"/>
      <c r="BY45" s="562"/>
      <c r="BZ45" s="562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 s="562"/>
      <c r="FX45" s="562"/>
      <c r="FY45" s="562"/>
      <c r="FZ45" s="562"/>
      <c r="GA45" s="562"/>
      <c r="GB45" s="562"/>
      <c r="GC45" s="562"/>
      <c r="GD45" s="562"/>
      <c r="GE45" s="562"/>
      <c r="GF45" s="562"/>
      <c r="GG45" s="562"/>
      <c r="GH45" s="562"/>
      <c r="GI45" s="562"/>
      <c r="GJ45" s="562"/>
      <c r="GK45" s="562"/>
      <c r="GL45" s="562"/>
      <c r="GM45" s="562"/>
      <c r="GN45" s="562"/>
      <c r="GO45" s="562"/>
      <c r="GP45" s="562"/>
      <c r="GQ45" s="562"/>
      <c r="GR45" s="562"/>
      <c r="GS45" s="562"/>
      <c r="GT45" s="562"/>
      <c r="GU45" s="562"/>
      <c r="GV45" s="562"/>
      <c r="GW45" s="562"/>
      <c r="GX45" s="562"/>
      <c r="GY45" s="562"/>
      <c r="GZ45" s="562"/>
      <c r="HA45" s="562"/>
      <c r="HB45" s="562"/>
      <c r="HC45" s="562"/>
      <c r="HD45" s="562"/>
      <c r="HE45" s="562"/>
      <c r="HF45" s="562"/>
      <c r="HG45" s="562"/>
      <c r="HH45" s="562"/>
      <c r="HI45" s="562"/>
      <c r="HJ45" s="562"/>
      <c r="HK45" s="562"/>
      <c r="HL45" s="562"/>
      <c r="HM45" s="562"/>
      <c r="HN45" s="562"/>
      <c r="HO45" s="562"/>
      <c r="HP45" s="562"/>
      <c r="HQ45" s="562"/>
      <c r="HR45" s="562"/>
      <c r="HS45" s="562"/>
      <c r="HT45" s="562"/>
      <c r="HU45" s="562"/>
      <c r="HV45" s="562"/>
    </row>
    <row r="46" spans="1:230" ht="14.4" x14ac:dyDescent="0.3">
      <c r="A46" s="163" t="s">
        <v>508</v>
      </c>
      <c r="B46" s="565">
        <v>1.3069999999999999</v>
      </c>
      <c r="C46" s="589"/>
      <c r="D46" s="565">
        <v>1.141</v>
      </c>
      <c r="E46" s="589"/>
      <c r="F46" s="565">
        <v>1.3839999999999999</v>
      </c>
      <c r="G46" s="589"/>
      <c r="H46" s="564">
        <f t="shared" si="2"/>
        <v>121.29710780017527</v>
      </c>
      <c r="I46" s="562"/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562"/>
      <c r="AK46" s="562"/>
      <c r="AL46" s="562"/>
      <c r="AM46" s="562"/>
      <c r="AN46" s="562"/>
      <c r="AO46" s="562"/>
      <c r="AP46" s="562"/>
      <c r="AQ46" s="562"/>
      <c r="AR46" s="562"/>
      <c r="AS46" s="562"/>
      <c r="AT46" s="562"/>
      <c r="AU46" s="562"/>
      <c r="AV46" s="562"/>
      <c r="AW46" s="562"/>
      <c r="AX46" s="562"/>
      <c r="AY46" s="562"/>
      <c r="AZ46" s="562"/>
      <c r="BA46" s="562"/>
      <c r="BB46" s="562"/>
      <c r="BC46" s="562"/>
      <c r="BD46" s="562"/>
      <c r="BE46" s="562"/>
      <c r="BF46" s="562"/>
      <c r="BG46" s="562"/>
      <c r="BH46" s="562"/>
      <c r="BI46" s="562"/>
      <c r="BJ46" s="562"/>
      <c r="BK46" s="562"/>
      <c r="BL46" s="562"/>
      <c r="BM46" s="562"/>
      <c r="BN46" s="562"/>
      <c r="BO46" s="562"/>
      <c r="BP46" s="562"/>
      <c r="BQ46" s="562"/>
      <c r="BR46" s="562"/>
      <c r="BS46" s="562"/>
      <c r="BT46" s="562"/>
      <c r="BU46" s="562"/>
      <c r="BV46" s="562"/>
      <c r="BW46" s="562"/>
      <c r="BX46" s="562"/>
      <c r="BY46" s="562"/>
      <c r="BZ46" s="562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 s="562"/>
      <c r="FX46" s="562"/>
      <c r="FY46" s="562"/>
      <c r="FZ46" s="562"/>
      <c r="GA46" s="562"/>
      <c r="GB46" s="562"/>
      <c r="GC46" s="562"/>
      <c r="GD46" s="562"/>
      <c r="GE46" s="562"/>
      <c r="GF46" s="562"/>
      <c r="GG46" s="562"/>
      <c r="GH46" s="562"/>
      <c r="GI46" s="562"/>
      <c r="GJ46" s="562"/>
      <c r="GK46" s="562"/>
      <c r="GL46" s="562"/>
      <c r="GM46" s="562"/>
      <c r="GN46" s="562"/>
      <c r="GO46" s="562"/>
      <c r="GP46" s="562"/>
      <c r="GQ46" s="562"/>
      <c r="GR46" s="562"/>
      <c r="GS46" s="562"/>
      <c r="GT46" s="562"/>
      <c r="GU46" s="562"/>
      <c r="GV46" s="562"/>
      <c r="GW46" s="562"/>
      <c r="GX46" s="562"/>
      <c r="GY46" s="562"/>
      <c r="GZ46" s="562"/>
      <c r="HA46" s="562"/>
      <c r="HB46" s="562"/>
      <c r="HC46" s="562"/>
      <c r="HD46" s="562"/>
      <c r="HE46" s="562"/>
      <c r="HF46" s="562"/>
      <c r="HG46" s="562"/>
      <c r="HH46" s="562"/>
      <c r="HI46" s="562"/>
      <c r="HJ46" s="562"/>
      <c r="HK46" s="562"/>
      <c r="HL46" s="562"/>
      <c r="HM46" s="562"/>
      <c r="HN46" s="562"/>
      <c r="HO46" s="562"/>
      <c r="HP46" s="562"/>
      <c r="HQ46" s="562"/>
      <c r="HR46" s="562"/>
      <c r="HS46" s="562"/>
      <c r="HT46" s="562"/>
      <c r="HU46" s="562"/>
      <c r="HV46" s="562"/>
    </row>
    <row r="47" spans="1:230" s="135" customFormat="1" ht="14.4" x14ac:dyDescent="0.3">
      <c r="A47" s="566" t="s">
        <v>509</v>
      </c>
      <c r="B47" s="567">
        <v>122.797</v>
      </c>
      <c r="C47" s="590"/>
      <c r="D47" s="567">
        <v>139.29499999999999</v>
      </c>
      <c r="E47" s="590"/>
      <c r="F47" s="567">
        <v>189.27199999999999</v>
      </c>
      <c r="G47" s="590"/>
      <c r="H47" s="564">
        <f t="shared" si="2"/>
        <v>135.87853117484477</v>
      </c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8"/>
      <c r="AE47" s="568"/>
      <c r="AF47" s="568"/>
      <c r="AG47" s="568"/>
      <c r="AH47" s="568"/>
      <c r="AI47" s="568"/>
      <c r="AJ47" s="568"/>
      <c r="AK47" s="568"/>
      <c r="AL47" s="568"/>
      <c r="AM47" s="568"/>
      <c r="AN47" s="568"/>
      <c r="AO47" s="568"/>
      <c r="AP47" s="568"/>
      <c r="AQ47" s="568"/>
      <c r="AR47" s="568"/>
      <c r="AS47" s="568"/>
      <c r="AT47" s="568"/>
      <c r="AU47" s="568"/>
      <c r="AV47" s="568"/>
      <c r="AW47" s="568"/>
      <c r="AX47" s="568"/>
      <c r="AY47" s="568"/>
      <c r="AZ47" s="568"/>
      <c r="BA47" s="568"/>
      <c r="BB47" s="568"/>
      <c r="BC47" s="568"/>
      <c r="BD47" s="568"/>
      <c r="BE47" s="568"/>
      <c r="BF47" s="568"/>
      <c r="BG47" s="568"/>
      <c r="BH47" s="568"/>
      <c r="BI47" s="568"/>
      <c r="BJ47" s="568"/>
      <c r="BK47" s="568"/>
      <c r="BL47" s="568"/>
      <c r="BM47" s="568"/>
      <c r="BN47" s="568"/>
      <c r="BO47" s="568"/>
      <c r="BP47" s="568"/>
      <c r="BQ47" s="568"/>
      <c r="BR47" s="568"/>
      <c r="BS47" s="568"/>
      <c r="BT47" s="568"/>
      <c r="BU47" s="568"/>
      <c r="BV47" s="568"/>
      <c r="BW47" s="568"/>
      <c r="BX47" s="568"/>
      <c r="BY47" s="568"/>
      <c r="BZ47" s="568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 s="568"/>
      <c r="FX47" s="568"/>
      <c r="FY47" s="568"/>
      <c r="FZ47" s="568"/>
      <c r="GA47" s="568"/>
      <c r="GB47" s="568"/>
      <c r="GC47" s="568"/>
      <c r="GD47" s="568"/>
      <c r="GE47" s="568"/>
      <c r="GF47" s="568"/>
      <c r="GG47" s="568"/>
      <c r="GH47" s="568"/>
      <c r="GI47" s="568"/>
      <c r="GJ47" s="568"/>
      <c r="GK47" s="568"/>
      <c r="GL47" s="568"/>
      <c r="GM47" s="568"/>
      <c r="GN47" s="568"/>
      <c r="GO47" s="568"/>
      <c r="GP47" s="568"/>
      <c r="GQ47" s="568"/>
      <c r="GR47" s="568"/>
      <c r="GS47" s="568"/>
      <c r="GT47" s="568"/>
      <c r="GU47" s="568"/>
      <c r="GV47" s="568"/>
      <c r="GW47" s="568"/>
      <c r="GX47" s="568"/>
      <c r="GY47" s="568"/>
      <c r="GZ47" s="568"/>
      <c r="HA47" s="568"/>
      <c r="HB47" s="568"/>
      <c r="HC47" s="568"/>
      <c r="HD47" s="568"/>
      <c r="HE47" s="568"/>
      <c r="HF47" s="568"/>
      <c r="HG47" s="568"/>
      <c r="HH47" s="568"/>
      <c r="HI47" s="568"/>
      <c r="HJ47" s="568"/>
      <c r="HK47" s="568"/>
      <c r="HL47" s="568"/>
      <c r="HM47" s="568"/>
      <c r="HN47" s="568"/>
      <c r="HO47" s="568"/>
      <c r="HP47" s="568"/>
      <c r="HQ47" s="568"/>
      <c r="HR47" s="568"/>
      <c r="HS47" s="568"/>
      <c r="HT47" s="568"/>
      <c r="HU47" s="568"/>
      <c r="HV47" s="568"/>
    </row>
    <row r="48" spans="1:230" ht="15" thickBot="1" x14ac:dyDescent="0.35">
      <c r="A48" s="571" t="s">
        <v>510</v>
      </c>
      <c r="B48" s="572">
        <v>7.3449999999999998</v>
      </c>
      <c r="C48" s="591"/>
      <c r="D48" s="572">
        <v>0</v>
      </c>
      <c r="E48" s="591"/>
      <c r="F48" s="572">
        <v>0</v>
      </c>
      <c r="G48" s="591"/>
      <c r="H48" s="573" t="str">
        <f t="shared" si="2"/>
        <v>-</v>
      </c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2"/>
      <c r="AR48" s="562"/>
      <c r="AS48" s="562"/>
      <c r="AT48" s="562"/>
      <c r="AU48" s="562"/>
      <c r="AV48" s="562"/>
      <c r="AW48" s="562"/>
      <c r="AX48" s="562"/>
      <c r="AY48" s="562"/>
      <c r="AZ48" s="562"/>
      <c r="BA48" s="562"/>
      <c r="BB48" s="562"/>
      <c r="BC48" s="562"/>
      <c r="BD48" s="562"/>
      <c r="BE48" s="562"/>
      <c r="BF48" s="562"/>
      <c r="BG48" s="562"/>
      <c r="BH48" s="562"/>
      <c r="BI48" s="562"/>
      <c r="BJ48" s="562"/>
      <c r="BK48" s="562"/>
      <c r="BL48" s="562"/>
      <c r="BM48" s="562"/>
      <c r="BN48" s="562"/>
      <c r="BO48" s="562"/>
      <c r="BP48" s="562"/>
      <c r="BQ48" s="562"/>
      <c r="BR48" s="562"/>
      <c r="BS48" s="562"/>
      <c r="BT48" s="562"/>
      <c r="BU48" s="562"/>
      <c r="BV48" s="562"/>
      <c r="BW48" s="562"/>
      <c r="BX48" s="562"/>
      <c r="BY48" s="562"/>
      <c r="BZ48" s="562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 s="562"/>
      <c r="FX48" s="562"/>
      <c r="FY48" s="562"/>
      <c r="FZ48" s="562"/>
      <c r="GA48" s="562"/>
      <c r="GB48" s="562"/>
      <c r="GC48" s="562"/>
      <c r="GD48" s="562"/>
      <c r="GE48" s="562"/>
      <c r="GF48" s="562"/>
      <c r="GG48" s="562"/>
      <c r="GH48" s="562"/>
      <c r="GI48" s="562"/>
      <c r="GJ48" s="562"/>
      <c r="GK48" s="562"/>
      <c r="GL48" s="562"/>
      <c r="GM48" s="562"/>
      <c r="GN48" s="562"/>
      <c r="GO48" s="562"/>
      <c r="GP48" s="562"/>
      <c r="GQ48" s="562"/>
      <c r="GR48" s="562"/>
      <c r="GS48" s="562"/>
      <c r="GT48" s="562"/>
      <c r="GU48" s="562"/>
      <c r="GV48" s="562"/>
      <c r="GW48" s="562"/>
      <c r="GX48" s="562"/>
      <c r="GY48" s="562"/>
      <c r="GZ48" s="562"/>
      <c r="HA48" s="562"/>
      <c r="HB48" s="562"/>
      <c r="HC48" s="562"/>
      <c r="HD48" s="562"/>
      <c r="HE48" s="562"/>
      <c r="HF48" s="562"/>
      <c r="HG48" s="562"/>
      <c r="HH48" s="562"/>
      <c r="HI48" s="562"/>
      <c r="HJ48" s="562"/>
      <c r="HK48" s="562"/>
      <c r="HL48" s="562"/>
      <c r="HM48" s="562"/>
      <c r="HN48" s="562"/>
      <c r="HO48" s="562"/>
      <c r="HP48" s="562"/>
      <c r="HQ48" s="562"/>
      <c r="HR48" s="562"/>
      <c r="HS48" s="562"/>
      <c r="HT48" s="562"/>
      <c r="HU48" s="562"/>
      <c r="HV48" s="562"/>
    </row>
  </sheetData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6"/>
  <sheetViews>
    <sheetView showGridLines="0" zoomScaleNormal="100" workbookViewId="0"/>
  </sheetViews>
  <sheetFormatPr defaultRowHeight="14.4" x14ac:dyDescent="0.3"/>
  <cols>
    <col min="1" max="1" width="24.5546875" customWidth="1"/>
    <col min="2" max="3" width="7.5546875" customWidth="1"/>
    <col min="4" max="4" width="9.6640625" customWidth="1"/>
    <col min="5" max="7" width="7.5546875" customWidth="1"/>
    <col min="8" max="8" width="9.5546875" customWidth="1"/>
    <col min="9" max="9" width="7" customWidth="1"/>
    <col min="10" max="10" width="25.88671875" customWidth="1"/>
  </cols>
  <sheetData>
    <row r="1" spans="1:9" x14ac:dyDescent="0.3">
      <c r="A1" s="48" t="s">
        <v>254</v>
      </c>
      <c r="B1" s="48"/>
      <c r="C1" s="48"/>
      <c r="D1" s="48"/>
      <c r="E1" s="48"/>
      <c r="F1" s="48"/>
      <c r="G1" s="48"/>
      <c r="H1" s="48"/>
      <c r="I1" s="51" t="s">
        <v>3</v>
      </c>
    </row>
    <row r="2" spans="1:9" x14ac:dyDescent="0.3">
      <c r="A2" s="735" t="s">
        <v>5</v>
      </c>
      <c r="B2" s="737" t="s">
        <v>562</v>
      </c>
      <c r="C2" s="738"/>
      <c r="D2" s="738"/>
      <c r="E2" s="739"/>
      <c r="F2" s="738" t="s">
        <v>588</v>
      </c>
      <c r="G2" s="738"/>
      <c r="H2" s="738"/>
      <c r="I2" s="738"/>
    </row>
    <row r="3" spans="1:9" ht="15" customHeight="1" x14ac:dyDescent="0.3">
      <c r="A3" s="735"/>
      <c r="B3" s="740" t="s">
        <v>152</v>
      </c>
      <c r="C3" s="741"/>
      <c r="D3" s="741"/>
      <c r="E3" s="742" t="s">
        <v>6</v>
      </c>
      <c r="F3" s="741" t="s">
        <v>152</v>
      </c>
      <c r="G3" s="741"/>
      <c r="H3" s="741"/>
      <c r="I3" s="744" t="s">
        <v>6</v>
      </c>
    </row>
    <row r="4" spans="1:9" ht="20.399999999999999" x14ac:dyDescent="0.3">
      <c r="A4" s="736"/>
      <c r="B4" s="53" t="s">
        <v>316</v>
      </c>
      <c r="C4" s="54" t="s">
        <v>317</v>
      </c>
      <c r="D4" s="54" t="s">
        <v>318</v>
      </c>
      <c r="E4" s="743"/>
      <c r="F4" s="54" t="s">
        <v>316</v>
      </c>
      <c r="G4" s="54" t="s">
        <v>317</v>
      </c>
      <c r="H4" s="54" t="s">
        <v>318</v>
      </c>
      <c r="I4" s="745"/>
    </row>
    <row r="5" spans="1:9" ht="14.1" customHeight="1" x14ac:dyDescent="0.3">
      <c r="A5" s="55" t="s">
        <v>7</v>
      </c>
      <c r="B5" s="56">
        <v>49.971643582825116</v>
      </c>
      <c r="C5" s="57">
        <v>42.761738804356142</v>
      </c>
      <c r="D5" s="57">
        <v>49.568975505453473</v>
      </c>
      <c r="E5" s="58">
        <v>4</v>
      </c>
      <c r="F5" s="57">
        <v>51.9987803453933</v>
      </c>
      <c r="G5" s="57">
        <v>47.069083402817178</v>
      </c>
      <c r="H5" s="57">
        <v>51.285750959256767</v>
      </c>
      <c r="I5" s="59">
        <v>4</v>
      </c>
    </row>
    <row r="6" spans="1:9" ht="14.1" customHeight="1" thickBot="1" x14ac:dyDescent="0.35">
      <c r="A6" s="60" t="s">
        <v>8</v>
      </c>
      <c r="B6" s="61">
        <v>50.028356417174884</v>
      </c>
      <c r="C6" s="62">
        <v>57.238261195643858</v>
      </c>
      <c r="D6" s="62">
        <v>50.431024494546527</v>
      </c>
      <c r="E6" s="63">
        <v>4</v>
      </c>
      <c r="F6" s="62">
        <v>48.0012196546067</v>
      </c>
      <c r="G6" s="62">
        <v>52.930916597182822</v>
      </c>
      <c r="H6" s="62">
        <v>48.714249040743233</v>
      </c>
      <c r="I6" s="64">
        <v>4</v>
      </c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FW31"/>
  <sheetViews>
    <sheetView showGridLines="0" zoomScaleNormal="100" workbookViewId="0">
      <selection activeCell="A2" sqref="A2"/>
    </sheetView>
  </sheetViews>
  <sheetFormatPr defaultColWidth="9.109375" defaultRowHeight="12" x14ac:dyDescent="0.25"/>
  <cols>
    <col min="1" max="1" width="58.5546875" style="3" customWidth="1"/>
    <col min="2" max="10" width="7.6640625" style="3" customWidth="1"/>
    <col min="11" max="11" width="8.33203125" style="3" customWidth="1"/>
    <col min="12" max="16384" width="9.109375" style="3"/>
  </cols>
  <sheetData>
    <row r="1" spans="1:179" ht="14.4" x14ac:dyDescent="0.3">
      <c r="K1" s="467" t="s">
        <v>588</v>
      </c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5" customHeight="1" x14ac:dyDescent="0.3">
      <c r="A2" s="48" t="s">
        <v>261</v>
      </c>
      <c r="B2" s="319"/>
      <c r="C2" s="48"/>
      <c r="D2" s="48"/>
      <c r="E2" s="48"/>
      <c r="F2" s="48"/>
      <c r="G2" s="48"/>
      <c r="H2" s="48"/>
      <c r="I2" s="48"/>
      <c r="J2" s="48"/>
      <c r="K2" s="278" t="s">
        <v>393</v>
      </c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5" customHeight="1" x14ac:dyDescent="0.3">
      <c r="A3" s="853" t="s">
        <v>151</v>
      </c>
      <c r="B3" s="855" t="s">
        <v>154</v>
      </c>
      <c r="C3" s="856"/>
      <c r="D3" s="856"/>
      <c r="E3" s="847" t="s">
        <v>137</v>
      </c>
      <c r="F3" s="855" t="s">
        <v>155</v>
      </c>
      <c r="G3" s="856"/>
      <c r="H3" s="856"/>
      <c r="I3" s="847" t="s">
        <v>156</v>
      </c>
      <c r="J3" s="764" t="s">
        <v>157</v>
      </c>
      <c r="K3" s="752" t="s">
        <v>394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854"/>
      <c r="B4" s="164">
        <v>1</v>
      </c>
      <c r="C4" s="295">
        <v>2</v>
      </c>
      <c r="D4" s="295">
        <v>3</v>
      </c>
      <c r="E4" s="857"/>
      <c r="F4" s="295">
        <v>1</v>
      </c>
      <c r="G4" s="295">
        <v>2</v>
      </c>
      <c r="H4" s="295">
        <v>3</v>
      </c>
      <c r="I4" s="857"/>
      <c r="J4" s="765"/>
      <c r="K4" s="75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4.4" x14ac:dyDescent="0.3">
      <c r="A5" s="110" t="s">
        <v>158</v>
      </c>
      <c r="B5" s="358">
        <f>SUM(B6:B26)</f>
        <v>2481.7449999999994</v>
      </c>
      <c r="C5" s="359">
        <f t="shared" ref="C5:D5" si="0">SUM(C6:C26)</f>
        <v>439.27300000000008</v>
      </c>
      <c r="D5" s="359">
        <f t="shared" si="0"/>
        <v>117.58400000000003</v>
      </c>
      <c r="E5" s="360">
        <f t="shared" ref="E5:E31" si="1">B5+C5+D5</f>
        <v>3038.6019999999994</v>
      </c>
      <c r="F5" s="359">
        <f>SUM(F6:F26)</f>
        <v>32.788999999999987</v>
      </c>
      <c r="G5" s="359">
        <f t="shared" ref="G5" si="2">SUM(G6:G26)</f>
        <v>46.006</v>
      </c>
      <c r="H5" s="359">
        <f t="shared" ref="H5" si="3">SUM(H6:H26)</f>
        <v>80.05400000000003</v>
      </c>
      <c r="I5" s="360">
        <f t="shared" ref="I5:I31" si="4">F5+G5+H5</f>
        <v>158.84900000000002</v>
      </c>
      <c r="J5" s="361">
        <f t="shared" ref="J5:J31" si="5">IF(E5&lt;&gt;0,D5*100/E5,"-")</f>
        <v>3.8696742778422464</v>
      </c>
      <c r="K5" s="361">
        <f t="shared" ref="K5:K31" si="6">IF(D5&lt;&gt;0,H5*100/D5,"-")</f>
        <v>68.082392162198943</v>
      </c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4" x14ac:dyDescent="0.3">
      <c r="A6" s="353" t="s">
        <v>159</v>
      </c>
      <c r="B6" s="354">
        <v>62.566000000000003</v>
      </c>
      <c r="C6" s="355">
        <v>10.737</v>
      </c>
      <c r="D6" s="355">
        <v>3.2509999999999999</v>
      </c>
      <c r="E6" s="356">
        <f t="shared" si="1"/>
        <v>76.554000000000002</v>
      </c>
      <c r="F6" s="355">
        <v>0.88700000000000001</v>
      </c>
      <c r="G6" s="355">
        <v>0.67800000000000005</v>
      </c>
      <c r="H6" s="355">
        <v>3.1779999999999999</v>
      </c>
      <c r="I6" s="356">
        <f t="shared" si="4"/>
        <v>4.7430000000000003</v>
      </c>
      <c r="J6" s="357">
        <f t="shared" si="5"/>
        <v>4.2466755492854711</v>
      </c>
      <c r="K6" s="357">
        <f t="shared" si="6"/>
        <v>97.754537065518306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4" x14ac:dyDescent="0.3">
      <c r="A7" s="337" t="s">
        <v>160</v>
      </c>
      <c r="B7" s="338">
        <v>30.074000000000002</v>
      </c>
      <c r="C7" s="339">
        <v>6.8520000000000003</v>
      </c>
      <c r="D7" s="339">
        <v>0</v>
      </c>
      <c r="E7" s="340">
        <f t="shared" si="1"/>
        <v>36.926000000000002</v>
      </c>
      <c r="F7" s="339">
        <v>0.251</v>
      </c>
      <c r="G7" s="339">
        <v>0.68400000000000005</v>
      </c>
      <c r="H7" s="339">
        <v>0</v>
      </c>
      <c r="I7" s="340">
        <f t="shared" si="4"/>
        <v>0.93500000000000005</v>
      </c>
      <c r="J7" s="341">
        <f t="shared" si="5"/>
        <v>0</v>
      </c>
      <c r="K7" s="341" t="str">
        <f t="shared" si="6"/>
        <v>-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4" x14ac:dyDescent="0.3">
      <c r="A8" s="337" t="s">
        <v>161</v>
      </c>
      <c r="B8" s="338">
        <v>362.935</v>
      </c>
      <c r="C8" s="339">
        <v>75.811999999999998</v>
      </c>
      <c r="D8" s="339">
        <v>40.517000000000003</v>
      </c>
      <c r="E8" s="340">
        <f t="shared" si="1"/>
        <v>479.26400000000001</v>
      </c>
      <c r="F8" s="339">
        <v>4.8440000000000003</v>
      </c>
      <c r="G8" s="339">
        <v>8.0649999999999995</v>
      </c>
      <c r="H8" s="339">
        <v>24.606999999999999</v>
      </c>
      <c r="I8" s="340">
        <f t="shared" si="4"/>
        <v>37.515999999999998</v>
      </c>
      <c r="J8" s="341">
        <f t="shared" si="5"/>
        <v>8.4540044735260729</v>
      </c>
      <c r="K8" s="341">
        <f t="shared" si="6"/>
        <v>60.732532023595027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24" x14ac:dyDescent="0.3">
      <c r="A9" s="337" t="s">
        <v>162</v>
      </c>
      <c r="B9" s="338">
        <v>199.94499999999999</v>
      </c>
      <c r="C9" s="339">
        <v>4.4669999999999996</v>
      </c>
      <c r="D9" s="339">
        <v>4.2000000000000003E-2</v>
      </c>
      <c r="E9" s="340">
        <f t="shared" si="1"/>
        <v>204.45400000000001</v>
      </c>
      <c r="F9" s="339">
        <v>2.9140000000000001</v>
      </c>
      <c r="G9" s="339">
        <v>0.89500000000000002</v>
      </c>
      <c r="H9" s="339">
        <v>3.6999999999999998E-2</v>
      </c>
      <c r="I9" s="340">
        <f t="shared" si="4"/>
        <v>3.8460000000000001</v>
      </c>
      <c r="J9" s="341">
        <f t="shared" si="5"/>
        <v>2.0542518121435628E-2</v>
      </c>
      <c r="K9" s="341">
        <f t="shared" si="6"/>
        <v>88.095238095238088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24" x14ac:dyDescent="0.3">
      <c r="A10" s="337" t="s">
        <v>163</v>
      </c>
      <c r="B10" s="338">
        <v>21.161999999999999</v>
      </c>
      <c r="C10" s="339">
        <v>4.3259999999999996</v>
      </c>
      <c r="D10" s="339">
        <v>6.3E-2</v>
      </c>
      <c r="E10" s="340">
        <f t="shared" si="1"/>
        <v>25.550999999999998</v>
      </c>
      <c r="F10" s="339">
        <v>0.23899999999999999</v>
      </c>
      <c r="G10" s="339">
        <v>0.28000000000000003</v>
      </c>
      <c r="H10" s="339">
        <v>5.6000000000000001E-2</v>
      </c>
      <c r="I10" s="340">
        <f t="shared" si="4"/>
        <v>0.57500000000000007</v>
      </c>
      <c r="J10" s="341">
        <f t="shared" si="5"/>
        <v>0.24656569214512153</v>
      </c>
      <c r="K10" s="341">
        <f t="shared" si="6"/>
        <v>88.8888888888889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4" x14ac:dyDescent="0.3">
      <c r="A11" s="337" t="s">
        <v>164</v>
      </c>
      <c r="B11" s="338">
        <v>233.381</v>
      </c>
      <c r="C11" s="339">
        <v>119.93600000000001</v>
      </c>
      <c r="D11" s="339">
        <v>11.009</v>
      </c>
      <c r="E11" s="340">
        <f t="shared" si="1"/>
        <v>364.32600000000002</v>
      </c>
      <c r="F11" s="339">
        <v>3.177</v>
      </c>
      <c r="G11" s="339">
        <v>12.534000000000001</v>
      </c>
      <c r="H11" s="339">
        <v>5.6849999999999996</v>
      </c>
      <c r="I11" s="340">
        <f t="shared" si="4"/>
        <v>21.396000000000001</v>
      </c>
      <c r="J11" s="341">
        <f t="shared" si="5"/>
        <v>3.0217442620071036</v>
      </c>
      <c r="K11" s="341">
        <f t="shared" si="6"/>
        <v>51.63956762648742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4" x14ac:dyDescent="0.3">
      <c r="A12" s="337" t="s">
        <v>165</v>
      </c>
      <c r="B12" s="338">
        <v>487.19</v>
      </c>
      <c r="C12" s="339">
        <v>98.738</v>
      </c>
      <c r="D12" s="339">
        <v>38.651000000000003</v>
      </c>
      <c r="E12" s="340">
        <f t="shared" si="1"/>
        <v>624.57899999999995</v>
      </c>
      <c r="F12" s="339">
        <v>6.3179999999999996</v>
      </c>
      <c r="G12" s="339">
        <v>9.2200000000000006</v>
      </c>
      <c r="H12" s="339">
        <v>32.654000000000003</v>
      </c>
      <c r="I12" s="340">
        <f t="shared" si="4"/>
        <v>48.192000000000007</v>
      </c>
      <c r="J12" s="341">
        <f t="shared" si="5"/>
        <v>6.1883284580493427</v>
      </c>
      <c r="K12" s="341">
        <f t="shared" si="6"/>
        <v>84.484230679671938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4" x14ac:dyDescent="0.3">
      <c r="A13" s="337" t="s">
        <v>166</v>
      </c>
      <c r="B13" s="338">
        <v>114.137</v>
      </c>
      <c r="C13" s="339">
        <v>27.925000000000001</v>
      </c>
      <c r="D13" s="339">
        <v>9.2669999999999995</v>
      </c>
      <c r="E13" s="340">
        <f t="shared" si="1"/>
        <v>151.32900000000001</v>
      </c>
      <c r="F13" s="339">
        <v>1.714</v>
      </c>
      <c r="G13" s="339">
        <v>3.5990000000000002</v>
      </c>
      <c r="H13" s="339">
        <v>6.2160000000000002</v>
      </c>
      <c r="I13" s="340">
        <f t="shared" si="4"/>
        <v>11.529</v>
      </c>
      <c r="J13" s="341">
        <f t="shared" si="5"/>
        <v>6.1237436314255689</v>
      </c>
      <c r="K13" s="341">
        <f t="shared" si="6"/>
        <v>67.07672385885401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24" x14ac:dyDescent="0.3">
      <c r="A14" s="337" t="s">
        <v>167</v>
      </c>
      <c r="B14" s="338">
        <v>93.405000000000001</v>
      </c>
      <c r="C14" s="339">
        <v>19.367999999999999</v>
      </c>
      <c r="D14" s="339">
        <v>0.56299999999999994</v>
      </c>
      <c r="E14" s="340">
        <f t="shared" si="1"/>
        <v>113.336</v>
      </c>
      <c r="F14" s="339">
        <v>1.1559999999999999</v>
      </c>
      <c r="G14" s="339">
        <v>2.2730000000000001</v>
      </c>
      <c r="H14" s="339">
        <v>0.51</v>
      </c>
      <c r="I14" s="340">
        <f t="shared" si="4"/>
        <v>3.9390000000000001</v>
      </c>
      <c r="J14" s="341">
        <f t="shared" si="5"/>
        <v>0.496753017576057</v>
      </c>
      <c r="K14" s="341">
        <f t="shared" si="6"/>
        <v>90.586145648312623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4" x14ac:dyDescent="0.3">
      <c r="A15" s="337" t="s">
        <v>168</v>
      </c>
      <c r="B15" s="338">
        <v>47.357999999999997</v>
      </c>
      <c r="C15" s="339">
        <v>23.119</v>
      </c>
      <c r="D15" s="339">
        <v>0.01</v>
      </c>
      <c r="E15" s="340">
        <f t="shared" si="1"/>
        <v>70.487000000000009</v>
      </c>
      <c r="F15" s="339">
        <v>0.77300000000000002</v>
      </c>
      <c r="G15" s="339">
        <v>2.4329999999999998</v>
      </c>
      <c r="H15" s="339">
        <v>0.01</v>
      </c>
      <c r="I15" s="340">
        <f t="shared" si="4"/>
        <v>3.2159999999999997</v>
      </c>
      <c r="J15" s="341">
        <f t="shared" si="5"/>
        <v>1.4187013208109295E-2</v>
      </c>
      <c r="K15" s="341">
        <f t="shared" si="6"/>
        <v>100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4" x14ac:dyDescent="0.3">
      <c r="A16" s="337" t="s">
        <v>169</v>
      </c>
      <c r="B16" s="338">
        <v>113.979</v>
      </c>
      <c r="C16" s="339">
        <v>5.5090000000000003</v>
      </c>
      <c r="D16" s="339">
        <v>0</v>
      </c>
      <c r="E16" s="340">
        <f t="shared" si="1"/>
        <v>119.488</v>
      </c>
      <c r="F16" s="339">
        <v>1.339</v>
      </c>
      <c r="G16" s="339">
        <v>0.90600000000000003</v>
      </c>
      <c r="H16" s="339">
        <v>0</v>
      </c>
      <c r="I16" s="340">
        <f t="shared" si="4"/>
        <v>2.2450000000000001</v>
      </c>
      <c r="J16" s="341">
        <f t="shared" si="5"/>
        <v>0</v>
      </c>
      <c r="K16" s="341" t="str">
        <f t="shared" si="6"/>
        <v>-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4" x14ac:dyDescent="0.3">
      <c r="A17" s="337" t="s">
        <v>170</v>
      </c>
      <c r="B17" s="338">
        <v>24.550999999999998</v>
      </c>
      <c r="C17" s="339">
        <v>10.510999999999999</v>
      </c>
      <c r="D17" s="339">
        <v>7.234</v>
      </c>
      <c r="E17" s="340">
        <f t="shared" si="1"/>
        <v>42.295999999999999</v>
      </c>
      <c r="F17" s="339">
        <v>0.38400000000000001</v>
      </c>
      <c r="G17" s="339">
        <v>0.98799999999999999</v>
      </c>
      <c r="H17" s="339">
        <v>2.5099999999999998</v>
      </c>
      <c r="I17" s="340">
        <f t="shared" si="4"/>
        <v>3.8819999999999997</v>
      </c>
      <c r="J17" s="341">
        <f t="shared" si="5"/>
        <v>17.103272177038018</v>
      </c>
      <c r="K17" s="341">
        <f t="shared" si="6"/>
        <v>34.697262925076025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4" x14ac:dyDescent="0.3">
      <c r="A18" s="337" t="s">
        <v>171</v>
      </c>
      <c r="B18" s="338">
        <v>87.518000000000001</v>
      </c>
      <c r="C18" s="339">
        <v>10.321999999999999</v>
      </c>
      <c r="D18" s="339">
        <v>1.071</v>
      </c>
      <c r="E18" s="340">
        <f t="shared" si="1"/>
        <v>98.911000000000001</v>
      </c>
      <c r="F18" s="339">
        <v>1.028</v>
      </c>
      <c r="G18" s="339">
        <v>1.014</v>
      </c>
      <c r="H18" s="339">
        <v>1.012</v>
      </c>
      <c r="I18" s="340">
        <f t="shared" si="4"/>
        <v>3.0539999999999998</v>
      </c>
      <c r="J18" s="341">
        <f t="shared" si="5"/>
        <v>1.0827916005297691</v>
      </c>
      <c r="K18" s="341">
        <f t="shared" si="6"/>
        <v>94.491129785247438</v>
      </c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4" x14ac:dyDescent="0.3">
      <c r="A19" s="337" t="s">
        <v>172</v>
      </c>
      <c r="B19" s="338">
        <v>14.007999999999999</v>
      </c>
      <c r="C19" s="339">
        <v>3.0470000000000002</v>
      </c>
      <c r="D19" s="339">
        <v>1.274</v>
      </c>
      <c r="E19" s="340">
        <f t="shared" si="1"/>
        <v>18.329000000000001</v>
      </c>
      <c r="F19" s="339">
        <v>0.214</v>
      </c>
      <c r="G19" s="339">
        <v>0.16900000000000001</v>
      </c>
      <c r="H19" s="339">
        <v>1.0900000000000001</v>
      </c>
      <c r="I19" s="340">
        <f t="shared" si="4"/>
        <v>1.4730000000000001</v>
      </c>
      <c r="J19" s="341">
        <f t="shared" si="5"/>
        <v>6.9507338098095914</v>
      </c>
      <c r="K19" s="341">
        <f t="shared" si="6"/>
        <v>85.557299843014135</v>
      </c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14.4" x14ac:dyDescent="0.3">
      <c r="A20" s="337" t="s">
        <v>173</v>
      </c>
      <c r="B20" s="338">
        <v>433.20299999999997</v>
      </c>
      <c r="C20" s="339">
        <v>11.795999999999999</v>
      </c>
      <c r="D20" s="339">
        <v>0.40300000000000002</v>
      </c>
      <c r="E20" s="340">
        <f t="shared" si="1"/>
        <v>445.40199999999999</v>
      </c>
      <c r="F20" s="339">
        <v>5.6820000000000004</v>
      </c>
      <c r="G20" s="339">
        <v>1.819</v>
      </c>
      <c r="H20" s="339">
        <v>0.40300000000000002</v>
      </c>
      <c r="I20" s="340">
        <f t="shared" si="4"/>
        <v>7.9039999999999999</v>
      </c>
      <c r="J20" s="341">
        <f t="shared" si="5"/>
        <v>9.0480060709202031E-2</v>
      </c>
      <c r="K20" s="341">
        <f t="shared" si="6"/>
        <v>100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4.4" x14ac:dyDescent="0.3">
      <c r="A21" s="337" t="s">
        <v>174</v>
      </c>
      <c r="B21" s="338">
        <v>2.84</v>
      </c>
      <c r="C21" s="339">
        <v>0.06</v>
      </c>
      <c r="D21" s="339">
        <v>1.548</v>
      </c>
      <c r="E21" s="340">
        <f t="shared" si="1"/>
        <v>4.4480000000000004</v>
      </c>
      <c r="F21" s="339">
        <v>2.5000000000000001E-2</v>
      </c>
      <c r="G21" s="339">
        <v>6.0000000000000001E-3</v>
      </c>
      <c r="H21" s="339">
        <v>0.873</v>
      </c>
      <c r="I21" s="340">
        <f t="shared" si="4"/>
        <v>0.90400000000000003</v>
      </c>
      <c r="J21" s="341">
        <f t="shared" si="5"/>
        <v>34.802158273381295</v>
      </c>
      <c r="K21" s="341">
        <f t="shared" si="6"/>
        <v>56.395348837209298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  <row r="22" spans="1:179" ht="14.4" x14ac:dyDescent="0.3">
      <c r="A22" s="337" t="s">
        <v>175</v>
      </c>
      <c r="B22" s="338">
        <v>92.400999999999996</v>
      </c>
      <c r="C22" s="339">
        <v>1.579</v>
      </c>
      <c r="D22" s="339">
        <v>1.238</v>
      </c>
      <c r="E22" s="340">
        <f t="shared" si="1"/>
        <v>95.217999999999989</v>
      </c>
      <c r="F22" s="339">
        <v>0.70299999999999996</v>
      </c>
      <c r="G22" s="339">
        <v>0.17</v>
      </c>
      <c r="H22" s="339">
        <v>0.75900000000000001</v>
      </c>
      <c r="I22" s="340">
        <f t="shared" si="4"/>
        <v>1.6320000000000001</v>
      </c>
      <c r="J22" s="341">
        <f t="shared" si="5"/>
        <v>1.3001743367850618</v>
      </c>
      <c r="K22" s="341">
        <f t="shared" si="6"/>
        <v>61.308562197092087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</row>
    <row r="23" spans="1:179" ht="14.4" x14ac:dyDescent="0.3">
      <c r="A23" s="337" t="s">
        <v>176</v>
      </c>
      <c r="B23" s="338">
        <v>56.576999999999998</v>
      </c>
      <c r="C23" s="339">
        <v>3.605</v>
      </c>
      <c r="D23" s="339">
        <v>1.18</v>
      </c>
      <c r="E23" s="340">
        <f t="shared" si="1"/>
        <v>61.361999999999995</v>
      </c>
      <c r="F23" s="339">
        <v>1.079</v>
      </c>
      <c r="G23" s="339">
        <v>0.18099999999999999</v>
      </c>
      <c r="H23" s="339">
        <v>0.24299999999999999</v>
      </c>
      <c r="I23" s="340">
        <f t="shared" si="4"/>
        <v>1.5030000000000001</v>
      </c>
      <c r="J23" s="341">
        <f t="shared" si="5"/>
        <v>1.9230142433427857</v>
      </c>
      <c r="K23" s="341">
        <f t="shared" si="6"/>
        <v>20.593220338983052</v>
      </c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</row>
    <row r="24" spans="1:179" ht="14.4" x14ac:dyDescent="0.3">
      <c r="A24" s="337" t="s">
        <v>177</v>
      </c>
      <c r="B24" s="338">
        <v>4.5149999999999997</v>
      </c>
      <c r="C24" s="339">
        <v>1.5640000000000001</v>
      </c>
      <c r="D24" s="339">
        <v>0.26300000000000001</v>
      </c>
      <c r="E24" s="340">
        <f t="shared" si="1"/>
        <v>6.3419999999999996</v>
      </c>
      <c r="F24" s="339">
        <v>6.2E-2</v>
      </c>
      <c r="G24" s="339">
        <v>9.1999999999999998E-2</v>
      </c>
      <c r="H24" s="339">
        <v>0.21099999999999999</v>
      </c>
      <c r="I24" s="340">
        <f t="shared" si="4"/>
        <v>0.36499999999999999</v>
      </c>
      <c r="J24" s="341">
        <f t="shared" si="5"/>
        <v>4.146956795963419</v>
      </c>
      <c r="K24" s="341">
        <f t="shared" si="6"/>
        <v>80.228136882129263</v>
      </c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</row>
    <row r="25" spans="1:179" ht="24" x14ac:dyDescent="0.3">
      <c r="A25" s="337" t="s">
        <v>178</v>
      </c>
      <c r="B25" s="338">
        <v>0</v>
      </c>
      <c r="C25" s="339">
        <v>0</v>
      </c>
      <c r="D25" s="339">
        <v>0</v>
      </c>
      <c r="E25" s="340">
        <f t="shared" si="1"/>
        <v>0</v>
      </c>
      <c r="F25" s="339">
        <v>0</v>
      </c>
      <c r="G25" s="339">
        <v>0</v>
      </c>
      <c r="H25" s="339">
        <v>0</v>
      </c>
      <c r="I25" s="340">
        <f t="shared" si="4"/>
        <v>0</v>
      </c>
      <c r="J25" s="341" t="str">
        <f t="shared" si="5"/>
        <v>-</v>
      </c>
      <c r="K25" s="341" t="str">
        <f t="shared" si="6"/>
        <v>-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</row>
    <row r="26" spans="1:179" ht="14.4" x14ac:dyDescent="0.3">
      <c r="A26" s="342" t="s">
        <v>179</v>
      </c>
      <c r="B26" s="343">
        <v>0</v>
      </c>
      <c r="C26" s="344">
        <v>0</v>
      </c>
      <c r="D26" s="344">
        <v>0</v>
      </c>
      <c r="E26" s="345">
        <f t="shared" si="1"/>
        <v>0</v>
      </c>
      <c r="F26" s="344">
        <v>0</v>
      </c>
      <c r="G26" s="344">
        <v>0</v>
      </c>
      <c r="H26" s="344">
        <v>0</v>
      </c>
      <c r="I26" s="345">
        <f t="shared" si="4"/>
        <v>0</v>
      </c>
      <c r="J26" s="346" t="str">
        <f t="shared" si="5"/>
        <v>-</v>
      </c>
      <c r="K26" s="346" t="str">
        <f t="shared" si="6"/>
        <v>-</v>
      </c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</row>
    <row r="27" spans="1:179" ht="14.4" x14ac:dyDescent="0.3">
      <c r="A27" s="110" t="s">
        <v>180</v>
      </c>
      <c r="B27" s="358">
        <f>SUM(B28:B30)</f>
        <v>2661.3440000000001</v>
      </c>
      <c r="C27" s="359">
        <f t="shared" ref="C27:D27" si="7">SUM(C28:C30)</f>
        <v>253.67699999999999</v>
      </c>
      <c r="D27" s="359">
        <f t="shared" si="7"/>
        <v>102.92099999999999</v>
      </c>
      <c r="E27" s="360">
        <f t="shared" si="1"/>
        <v>3017.942</v>
      </c>
      <c r="F27" s="359">
        <f>SUM(F28:F30)</f>
        <v>35.599999999999994</v>
      </c>
      <c r="G27" s="359">
        <f t="shared" ref="G27" si="8">SUM(G28:G30)</f>
        <v>33.711999999999996</v>
      </c>
      <c r="H27" s="359">
        <f t="shared" ref="H27" si="9">SUM(H28:H30)</f>
        <v>86.757000000000005</v>
      </c>
      <c r="I27" s="360">
        <f t="shared" si="4"/>
        <v>156.06899999999999</v>
      </c>
      <c r="J27" s="361">
        <f t="shared" si="5"/>
        <v>3.4103041078986935</v>
      </c>
      <c r="K27" s="361">
        <f t="shared" si="6"/>
        <v>84.294750342495718</v>
      </c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</row>
    <row r="28" spans="1:179" ht="14.4" x14ac:dyDescent="0.3">
      <c r="A28" s="353" t="s">
        <v>181</v>
      </c>
      <c r="B28" s="354">
        <v>1697.037</v>
      </c>
      <c r="C28" s="355">
        <v>180.82499999999999</v>
      </c>
      <c r="D28" s="355">
        <v>77.805999999999997</v>
      </c>
      <c r="E28" s="356">
        <f t="shared" si="1"/>
        <v>1955.6680000000001</v>
      </c>
      <c r="F28" s="355">
        <v>25.675999999999998</v>
      </c>
      <c r="G28" s="355">
        <v>24.95</v>
      </c>
      <c r="H28" s="355">
        <v>69.192999999999998</v>
      </c>
      <c r="I28" s="356">
        <f t="shared" si="4"/>
        <v>119.81899999999999</v>
      </c>
      <c r="J28" s="357">
        <f t="shared" si="5"/>
        <v>3.9784871460800089</v>
      </c>
      <c r="K28" s="357">
        <f t="shared" si="6"/>
        <v>88.930159627792207</v>
      </c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</row>
    <row r="29" spans="1:179" ht="14.4" x14ac:dyDescent="0.3">
      <c r="A29" s="337" t="s">
        <v>182</v>
      </c>
      <c r="B29" s="338">
        <v>820.77200000000005</v>
      </c>
      <c r="C29" s="339">
        <v>51.972000000000001</v>
      </c>
      <c r="D29" s="339">
        <v>8.0060000000000002</v>
      </c>
      <c r="E29" s="340">
        <f t="shared" si="1"/>
        <v>880.75</v>
      </c>
      <c r="F29" s="339">
        <v>7.585</v>
      </c>
      <c r="G29" s="339">
        <v>7.048</v>
      </c>
      <c r="H29" s="339">
        <v>5.2510000000000003</v>
      </c>
      <c r="I29" s="340">
        <f t="shared" si="4"/>
        <v>19.884</v>
      </c>
      <c r="J29" s="341">
        <f t="shared" si="5"/>
        <v>0.90899801305705363</v>
      </c>
      <c r="K29" s="341">
        <f t="shared" si="6"/>
        <v>65.588308768423687</v>
      </c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</row>
    <row r="30" spans="1:179" ht="14.4" x14ac:dyDescent="0.3">
      <c r="A30" s="347" t="s">
        <v>183</v>
      </c>
      <c r="B30" s="348">
        <v>143.535</v>
      </c>
      <c r="C30" s="349">
        <v>20.88</v>
      </c>
      <c r="D30" s="349">
        <v>17.109000000000002</v>
      </c>
      <c r="E30" s="350">
        <f t="shared" si="1"/>
        <v>181.524</v>
      </c>
      <c r="F30" s="349">
        <v>2.339</v>
      </c>
      <c r="G30" s="349">
        <v>1.714</v>
      </c>
      <c r="H30" s="349">
        <v>12.313000000000001</v>
      </c>
      <c r="I30" s="350">
        <f t="shared" si="4"/>
        <v>16.366</v>
      </c>
      <c r="J30" s="351">
        <f t="shared" si="5"/>
        <v>9.4251999735572163</v>
      </c>
      <c r="K30" s="351">
        <f t="shared" si="6"/>
        <v>71.967970074229925</v>
      </c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</row>
    <row r="31" spans="1:179" ht="15" thickBot="1" x14ac:dyDescent="0.35">
      <c r="A31" s="84" t="s">
        <v>184</v>
      </c>
      <c r="B31" s="85">
        <f>B5+B27</f>
        <v>5143.0889999999999</v>
      </c>
      <c r="C31" s="317">
        <f t="shared" ref="C31:D31" si="10">C5+C27</f>
        <v>692.95</v>
      </c>
      <c r="D31" s="317">
        <f t="shared" si="10"/>
        <v>220.50500000000002</v>
      </c>
      <c r="E31" s="316">
        <f t="shared" si="1"/>
        <v>6056.5439999999999</v>
      </c>
      <c r="F31" s="317">
        <f>F5+F27</f>
        <v>68.388999999999982</v>
      </c>
      <c r="G31" s="317">
        <f t="shared" ref="G31:H31" si="11">G5+G27</f>
        <v>79.717999999999989</v>
      </c>
      <c r="H31" s="317">
        <f t="shared" si="11"/>
        <v>166.81100000000004</v>
      </c>
      <c r="I31" s="316">
        <f t="shared" si="4"/>
        <v>314.91800000000001</v>
      </c>
      <c r="J31" s="352">
        <f t="shared" si="5"/>
        <v>3.6407726914887442</v>
      </c>
      <c r="K31" s="352">
        <f t="shared" si="6"/>
        <v>75.649531756649509</v>
      </c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showGridLines="0" topLeftCell="A2" zoomScaleNormal="100" workbookViewId="0">
      <selection activeCell="A2" sqref="A2"/>
    </sheetView>
  </sheetViews>
  <sheetFormatPr defaultRowHeight="14.4" x14ac:dyDescent="0.3"/>
  <cols>
    <col min="1" max="1" width="20.44140625" customWidth="1"/>
    <col min="2" max="4" width="21" customWidth="1"/>
  </cols>
  <sheetData>
    <row r="1" spans="1:4" hidden="1" x14ac:dyDescent="0.3">
      <c r="A1" s="25"/>
    </row>
    <row r="2" spans="1:4" x14ac:dyDescent="0.3">
      <c r="A2" s="87" t="s">
        <v>255</v>
      </c>
      <c r="B2" s="66"/>
      <c r="C2" s="66"/>
      <c r="D2" s="67" t="s">
        <v>315</v>
      </c>
    </row>
    <row r="3" spans="1:4" x14ac:dyDescent="0.3">
      <c r="A3" s="81" t="s">
        <v>0</v>
      </c>
      <c r="B3" s="68" t="s">
        <v>1</v>
      </c>
      <c r="C3" s="68" t="s">
        <v>387</v>
      </c>
      <c r="D3" s="68" t="s">
        <v>255</v>
      </c>
    </row>
    <row r="4" spans="1:4" x14ac:dyDescent="0.3">
      <c r="A4" s="297" t="s">
        <v>561</v>
      </c>
      <c r="B4" s="69">
        <v>2928</v>
      </c>
      <c r="C4" s="70">
        <v>9892.2990000000009</v>
      </c>
      <c r="D4" s="70">
        <f>IFERROR(C4/B4,0)</f>
        <v>3.378517418032787</v>
      </c>
    </row>
    <row r="5" spans="1:4" x14ac:dyDescent="0.3">
      <c r="A5" s="121" t="s">
        <v>562</v>
      </c>
      <c r="B5" s="50">
        <v>2946</v>
      </c>
      <c r="C5" s="71">
        <v>10070.031000000001</v>
      </c>
      <c r="D5" s="71">
        <f>IFERROR(C5/B5,0)</f>
        <v>3.4182046843177192</v>
      </c>
    </row>
    <row r="6" spans="1:4" x14ac:dyDescent="0.3">
      <c r="A6" s="298" t="s">
        <v>588</v>
      </c>
      <c r="B6" s="72">
        <v>3021</v>
      </c>
      <c r="C6" s="73">
        <v>10370.148999999999</v>
      </c>
      <c r="D6" s="73">
        <f>IFERROR(C6/B6,0)</f>
        <v>3.4326875206885137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FW26"/>
  <sheetViews>
    <sheetView showGridLines="0" topLeftCell="A2" zoomScaleNormal="100" workbookViewId="0">
      <selection activeCell="A3" sqref="A3"/>
    </sheetView>
  </sheetViews>
  <sheetFormatPr defaultColWidth="9.109375" defaultRowHeight="12" x14ac:dyDescent="0.25"/>
  <cols>
    <col min="1" max="1" width="43.44140625" style="3" customWidth="1"/>
    <col min="2" max="2" width="8.6640625" style="3" customWidth="1"/>
    <col min="3" max="3" width="6.5546875" style="3" customWidth="1"/>
    <col min="4" max="4" width="8.6640625" style="3" customWidth="1"/>
    <col min="5" max="5" width="6.5546875" style="3" customWidth="1"/>
    <col min="6" max="6" width="8.6640625" style="3" customWidth="1"/>
    <col min="7" max="7" width="6.5546875" style="3" customWidth="1"/>
    <col min="8" max="8" width="8.5546875" style="3" customWidth="1"/>
    <col min="9" max="9" width="0" style="3" hidden="1" customWidth="1"/>
    <col min="10" max="16384" width="9.109375" style="3"/>
  </cols>
  <sheetData>
    <row r="1" spans="1:179" ht="12" hidden="1" customHeight="1" x14ac:dyDescent="0.3"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</row>
    <row r="2" spans="1:179" ht="14.4" x14ac:dyDescent="0.3">
      <c r="A2" s="25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</row>
    <row r="3" spans="1:179" ht="14.4" x14ac:dyDescent="0.3">
      <c r="A3" s="80" t="s">
        <v>391</v>
      </c>
      <c r="B3" s="544"/>
      <c r="C3" s="544"/>
      <c r="D3" s="544"/>
      <c r="E3" s="544"/>
      <c r="F3" s="544"/>
      <c r="G3" s="544"/>
      <c r="H3" s="296" t="s">
        <v>315</v>
      </c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</row>
    <row r="4" spans="1:179" ht="14.4" x14ac:dyDescent="0.3">
      <c r="A4" s="735" t="s">
        <v>10</v>
      </c>
      <c r="B4" s="746" t="s">
        <v>561</v>
      </c>
      <c r="C4" s="747"/>
      <c r="D4" s="746" t="s">
        <v>562</v>
      </c>
      <c r="E4" s="747"/>
      <c r="F4" s="746" t="s">
        <v>588</v>
      </c>
      <c r="G4" s="747"/>
      <c r="H4" s="749" t="s">
        <v>9</v>
      </c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</row>
    <row r="5" spans="1:179" ht="14.4" x14ac:dyDescent="0.3">
      <c r="A5" s="748"/>
      <c r="B5" s="75" t="s">
        <v>2</v>
      </c>
      <c r="C5" s="76" t="s">
        <v>3</v>
      </c>
      <c r="D5" s="75" t="s">
        <v>2</v>
      </c>
      <c r="E5" s="76" t="s">
        <v>3</v>
      </c>
      <c r="F5" s="75" t="s">
        <v>2</v>
      </c>
      <c r="G5" s="76" t="s">
        <v>3</v>
      </c>
      <c r="H5" s="750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</row>
    <row r="6" spans="1:179" ht="14.4" x14ac:dyDescent="0.3">
      <c r="A6" s="541" t="s">
        <v>319</v>
      </c>
      <c r="B6" s="554"/>
      <c r="C6" s="555"/>
      <c r="D6" s="554"/>
      <c r="E6" s="555"/>
      <c r="F6" s="554"/>
      <c r="G6" s="555"/>
      <c r="H6" s="55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</row>
    <row r="7" spans="1:179" ht="14.4" x14ac:dyDescent="0.3">
      <c r="A7" s="55" t="s">
        <v>444</v>
      </c>
      <c r="B7" s="552">
        <v>2745.43</v>
      </c>
      <c r="C7" s="512">
        <f t="shared" ref="C7:C12" si="0">IF(B$13&lt;&gt;0,B7*100/B$13,0)</f>
        <v>27.753204790918677</v>
      </c>
      <c r="D7" s="552">
        <v>2636.6060000000002</v>
      </c>
      <c r="E7" s="512">
        <f t="shared" ref="E7:E12" si="1">IF(D$13&lt;&gt;0,D7*100/D$13,0)</f>
        <v>26.18269993409157</v>
      </c>
      <c r="F7" s="552">
        <v>2560.04</v>
      </c>
      <c r="G7" s="512">
        <f t="shared" ref="G7:G12" si="2">IF(F$13&lt;&gt;0,F7*100/F$13,0)</f>
        <v>24.686626971319313</v>
      </c>
      <c r="H7" s="5">
        <f>IF(D7&lt;&gt;0,F7/D7*100,"")</f>
        <v>97.096039377897185</v>
      </c>
      <c r="I7" s="3" t="s">
        <v>463</v>
      </c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</row>
    <row r="8" spans="1:179" ht="14.4" x14ac:dyDescent="0.3">
      <c r="A8" s="55" t="s">
        <v>445</v>
      </c>
      <c r="B8" s="552">
        <v>1101.5740000000001</v>
      </c>
      <c r="C8" s="512">
        <f t="shared" si="0"/>
        <v>11.135672304284375</v>
      </c>
      <c r="D8" s="552">
        <v>1283.895</v>
      </c>
      <c r="E8" s="512">
        <f t="shared" si="1"/>
        <v>12.749662836191867</v>
      </c>
      <c r="F8" s="552">
        <v>1389.796</v>
      </c>
      <c r="G8" s="512">
        <f t="shared" si="2"/>
        <v>13.401890368209754</v>
      </c>
      <c r="H8" s="5">
        <f t="shared" ref="H8:H26" si="3">IF(D8&lt;&gt;0,F8/D8*100,"")</f>
        <v>108.24841595301797</v>
      </c>
      <c r="I8" s="3" t="s">
        <v>468</v>
      </c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</row>
    <row r="9" spans="1:179" ht="14.4" x14ac:dyDescent="0.3">
      <c r="A9" s="55" t="s">
        <v>209</v>
      </c>
      <c r="B9" s="552">
        <v>16.71</v>
      </c>
      <c r="C9" s="512">
        <f t="shared" si="0"/>
        <v>0.1689192775107182</v>
      </c>
      <c r="D9" s="552">
        <v>40.366999999999997</v>
      </c>
      <c r="E9" s="512">
        <f t="shared" si="1"/>
        <v>0.40086271829749087</v>
      </c>
      <c r="F9" s="552">
        <v>28.584</v>
      </c>
      <c r="G9" s="512">
        <f t="shared" si="2"/>
        <v>0.27563731244363027</v>
      </c>
      <c r="H9" s="5">
        <f t="shared" si="3"/>
        <v>70.810315356603169</v>
      </c>
      <c r="I9" s="3" t="s">
        <v>464</v>
      </c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</row>
    <row r="10" spans="1:179" ht="14.4" x14ac:dyDescent="0.3">
      <c r="A10" s="55" t="s">
        <v>12</v>
      </c>
      <c r="B10" s="552">
        <v>5705.1350000000002</v>
      </c>
      <c r="C10" s="512">
        <f t="shared" si="0"/>
        <v>57.67248846804975</v>
      </c>
      <c r="D10" s="552">
        <v>5792.91</v>
      </c>
      <c r="E10" s="512">
        <f t="shared" si="1"/>
        <v>57.526238002643694</v>
      </c>
      <c r="F10" s="552">
        <v>6056.5429999999997</v>
      </c>
      <c r="G10" s="512">
        <f t="shared" si="2"/>
        <v>58.403625637394406</v>
      </c>
      <c r="H10" s="5">
        <f t="shared" si="3"/>
        <v>104.5509597076426</v>
      </c>
      <c r="I10" s="3" t="s">
        <v>400</v>
      </c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</row>
    <row r="11" spans="1:179" ht="14.4" x14ac:dyDescent="0.3">
      <c r="A11" s="55" t="s">
        <v>446</v>
      </c>
      <c r="B11" s="552">
        <v>192.72</v>
      </c>
      <c r="C11" s="512">
        <f t="shared" si="0"/>
        <v>1.9481821162097912</v>
      </c>
      <c r="D11" s="552">
        <v>186.83699999999999</v>
      </c>
      <c r="E11" s="512">
        <f t="shared" si="1"/>
        <v>1.8553766120481654</v>
      </c>
      <c r="F11" s="552">
        <v>189.06800000000001</v>
      </c>
      <c r="G11" s="512">
        <f t="shared" si="2"/>
        <v>1.8231946329797193</v>
      </c>
      <c r="H11" s="5">
        <f t="shared" si="3"/>
        <v>101.1940889652478</v>
      </c>
      <c r="I11" s="3" t="s">
        <v>465</v>
      </c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</row>
    <row r="12" spans="1:179" ht="14.4" x14ac:dyDescent="0.3">
      <c r="A12" s="55" t="s">
        <v>447</v>
      </c>
      <c r="B12" s="552">
        <v>130.72999999999999</v>
      </c>
      <c r="C12" s="512">
        <f t="shared" si="0"/>
        <v>1.3215330430267018</v>
      </c>
      <c r="D12" s="552">
        <v>129.416</v>
      </c>
      <c r="E12" s="512">
        <f t="shared" si="1"/>
        <v>1.2851598967272297</v>
      </c>
      <c r="F12" s="552">
        <v>146.11799999999999</v>
      </c>
      <c r="G12" s="512">
        <f t="shared" si="2"/>
        <v>1.4090250776531754</v>
      </c>
      <c r="H12" s="5">
        <f t="shared" si="3"/>
        <v>112.90566854175681</v>
      </c>
      <c r="I12" s="3" t="s">
        <v>469</v>
      </c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</row>
    <row r="13" spans="1:179" ht="14.4" x14ac:dyDescent="0.3">
      <c r="A13" s="7" t="s">
        <v>448</v>
      </c>
      <c r="B13" s="553">
        <f t="shared" ref="B13:G13" si="4">SUM(B7:B12)</f>
        <v>9892.2989999999991</v>
      </c>
      <c r="C13" s="627">
        <f t="shared" si="4"/>
        <v>100.00000000000001</v>
      </c>
      <c r="D13" s="553">
        <f t="shared" si="4"/>
        <v>10070.030999999999</v>
      </c>
      <c r="E13" s="627">
        <f t="shared" si="4"/>
        <v>100.00000000000001</v>
      </c>
      <c r="F13" s="553">
        <f t="shared" si="4"/>
        <v>10370.148999999999</v>
      </c>
      <c r="G13" s="627">
        <f t="shared" si="4"/>
        <v>99.999999999999986</v>
      </c>
      <c r="H13" s="77">
        <f t="shared" si="3"/>
        <v>102.98030860083749</v>
      </c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  <row r="14" spans="1:179" ht="14.4" x14ac:dyDescent="0.3">
      <c r="A14" s="7" t="s">
        <v>449</v>
      </c>
      <c r="B14" s="553">
        <f>B15+B16</f>
        <v>341.04599999999999</v>
      </c>
      <c r="C14" s="628"/>
      <c r="D14" s="553">
        <f>D15+D16</f>
        <v>312.87800000000004</v>
      </c>
      <c r="E14" s="628"/>
      <c r="F14" s="553">
        <f>F15+F16</f>
        <v>339.572</v>
      </c>
      <c r="G14" s="628"/>
      <c r="H14" s="77">
        <f t="shared" si="3"/>
        <v>108.5317599831244</v>
      </c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  <row r="15" spans="1:179" ht="14.4" x14ac:dyDescent="0.3">
      <c r="A15" s="55" t="s">
        <v>450</v>
      </c>
      <c r="B15" s="552">
        <v>322.50900000000001</v>
      </c>
      <c r="C15" s="512"/>
      <c r="D15" s="552">
        <v>292.44600000000003</v>
      </c>
      <c r="E15" s="512"/>
      <c r="F15" s="552">
        <v>314.91500000000002</v>
      </c>
      <c r="G15" s="512"/>
      <c r="H15" s="5">
        <f t="shared" si="3"/>
        <v>107.68312782530791</v>
      </c>
      <c r="I15" s="3" t="s">
        <v>461</v>
      </c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</row>
    <row r="16" spans="1:179" ht="14.4" x14ac:dyDescent="0.3">
      <c r="A16" s="55" t="s">
        <v>451</v>
      </c>
      <c r="B16" s="552">
        <v>18.536999999999999</v>
      </c>
      <c r="C16" s="512"/>
      <c r="D16" s="552">
        <v>20.431999999999999</v>
      </c>
      <c r="E16" s="512"/>
      <c r="F16" s="552">
        <v>24.657</v>
      </c>
      <c r="G16" s="512"/>
      <c r="H16" s="5">
        <f t="shared" si="3"/>
        <v>120.6783476898982</v>
      </c>
      <c r="I16" s="3" t="s">
        <v>462</v>
      </c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</row>
    <row r="17" spans="1:179" ht="14.4" x14ac:dyDescent="0.3">
      <c r="A17" s="7" t="s">
        <v>452</v>
      </c>
      <c r="B17" s="553">
        <f>B13-B14</f>
        <v>9551.2529999999988</v>
      </c>
      <c r="C17" s="628"/>
      <c r="D17" s="553">
        <f>D13-D14</f>
        <v>9757.1529999999984</v>
      </c>
      <c r="E17" s="628"/>
      <c r="F17" s="553">
        <f>F13-F14</f>
        <v>10030.576999999999</v>
      </c>
      <c r="G17" s="628"/>
      <c r="H17" s="77">
        <f t="shared" si="3"/>
        <v>102.80229284095475</v>
      </c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</row>
    <row r="18" spans="1:179" ht="14.4" x14ac:dyDescent="0.3">
      <c r="A18" s="541" t="s">
        <v>453</v>
      </c>
      <c r="B18" s="557"/>
      <c r="C18" s="629"/>
      <c r="D18" s="557"/>
      <c r="E18" s="629"/>
      <c r="F18" s="557"/>
      <c r="G18" s="629"/>
      <c r="H18" s="556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</row>
    <row r="19" spans="1:179" ht="14.4" x14ac:dyDescent="0.3">
      <c r="A19" s="55" t="s">
        <v>454</v>
      </c>
      <c r="B19" s="552">
        <v>7498.5609999999997</v>
      </c>
      <c r="C19" s="512">
        <f>IF(B$26&lt;&gt;0,B19*100/B$26,0)</f>
        <v>78.508662685408908</v>
      </c>
      <c r="D19" s="552">
        <v>7595.16</v>
      </c>
      <c r="E19" s="512">
        <f>IF(D$26&lt;&gt;0,D19*100/D$26,0)</f>
        <v>77.841968861203682</v>
      </c>
      <c r="F19" s="552">
        <v>7740.107</v>
      </c>
      <c r="G19" s="512">
        <f>IF(F$26&lt;&gt;0,F19*100/F$26,0)</f>
        <v>77.165122205831224</v>
      </c>
      <c r="H19" s="5">
        <f t="shared" si="3"/>
        <v>101.9084127259992</v>
      </c>
      <c r="I19" s="3" t="s">
        <v>401</v>
      </c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</row>
    <row r="20" spans="1:179" ht="14.4" x14ac:dyDescent="0.3">
      <c r="A20" s="55" t="s">
        <v>455</v>
      </c>
      <c r="B20" s="552">
        <v>681.50900000000001</v>
      </c>
      <c r="C20" s="512">
        <f t="shared" ref="C20:E25" si="5">IF(B$26&lt;&gt;0,B20*100/B$26,0)</f>
        <v>7.1352837161783897</v>
      </c>
      <c r="D20" s="552">
        <v>704.68499999999995</v>
      </c>
      <c r="E20" s="512">
        <f t="shared" si="5"/>
        <v>7.2222399300287705</v>
      </c>
      <c r="F20" s="552">
        <v>717.84799999999996</v>
      </c>
      <c r="G20" s="512">
        <f t="shared" ref="G20" si="6">IF(F$26&lt;&gt;0,F20*100/F$26,0)</f>
        <v>7.1565972725198153</v>
      </c>
      <c r="H20" s="5">
        <f t="shared" si="3"/>
        <v>101.86792680417491</v>
      </c>
      <c r="I20" s="3" t="s">
        <v>402</v>
      </c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</row>
    <row r="21" spans="1:179" ht="14.4" x14ac:dyDescent="0.3">
      <c r="A21" s="55" t="s">
        <v>456</v>
      </c>
      <c r="B21" s="552">
        <v>52.268000000000001</v>
      </c>
      <c r="C21" s="512">
        <f>IF(B$26&lt;&gt;0,B21*100/B$26,0)</f>
        <v>0.54723710072385268</v>
      </c>
      <c r="D21" s="552">
        <v>52.268000000000001</v>
      </c>
      <c r="E21" s="512">
        <f t="shared" si="5"/>
        <v>0.53568904781958437</v>
      </c>
      <c r="F21" s="552">
        <v>70.849000000000004</v>
      </c>
      <c r="G21" s="512">
        <f t="shared" ref="G21:G22" si="7">IF(F$26&lt;&gt;0,F21*100/F$26,0)</f>
        <v>0.70633025398239813</v>
      </c>
      <c r="H21" s="5">
        <f t="shared" si="3"/>
        <v>135.54947577867912</v>
      </c>
      <c r="I21" s="3" t="s">
        <v>403</v>
      </c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</row>
    <row r="22" spans="1:179" ht="14.4" x14ac:dyDescent="0.3">
      <c r="A22" s="167" t="s">
        <v>532</v>
      </c>
      <c r="B22" s="552">
        <v>12.67</v>
      </c>
      <c r="C22" s="512">
        <f>IF(B$26&lt;&gt;0,B22*100/B$26,0)</f>
        <v>0.13265275247132496</v>
      </c>
      <c r="D22" s="552">
        <v>12.781000000000001</v>
      </c>
      <c r="E22" s="512">
        <f t="shared" si="5"/>
        <v>0.13099107905758989</v>
      </c>
      <c r="F22" s="552">
        <v>16.96</v>
      </c>
      <c r="G22" s="512">
        <f t="shared" si="7"/>
        <v>0.16908299492641352</v>
      </c>
      <c r="H22" s="5">
        <f>IF(D22&lt;&gt;0,F22/D22*100,"")</f>
        <v>132.69697206791332</v>
      </c>
      <c r="I22" s="3" t="s">
        <v>466</v>
      </c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</row>
    <row r="23" spans="1:179" ht="14.4" x14ac:dyDescent="0.3">
      <c r="A23" s="55" t="s">
        <v>533</v>
      </c>
      <c r="B23" s="552">
        <v>189.74</v>
      </c>
      <c r="C23" s="512">
        <f t="shared" si="5"/>
        <v>1.9865456396139856</v>
      </c>
      <c r="D23" s="552">
        <v>176.22800000000001</v>
      </c>
      <c r="E23" s="512">
        <f t="shared" si="5"/>
        <v>1.8061416070855916</v>
      </c>
      <c r="F23" s="552">
        <v>178.75399999999999</v>
      </c>
      <c r="G23" s="512">
        <f t="shared" ref="G23" si="8">IF(F$26&lt;&gt;0,F23*100/F$26,0)</f>
        <v>1.782090900653073</v>
      </c>
      <c r="H23" s="5">
        <f>IF(D23&lt;&gt;0,F23/D23*100,"")</f>
        <v>101.4333704065188</v>
      </c>
      <c r="I23" s="3" t="s">
        <v>470</v>
      </c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</row>
    <row r="24" spans="1:179" ht="14.4" x14ac:dyDescent="0.3">
      <c r="A24" s="727" t="s">
        <v>457</v>
      </c>
      <c r="B24" s="558"/>
      <c r="C24" s="629"/>
      <c r="D24" s="558"/>
      <c r="E24" s="629"/>
      <c r="F24" s="558"/>
      <c r="G24" s="629"/>
      <c r="H24" s="556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</row>
    <row r="25" spans="1:179" ht="14.4" x14ac:dyDescent="0.3">
      <c r="A25" s="535" t="s">
        <v>534</v>
      </c>
      <c r="B25" s="552">
        <v>1116.5050000000001</v>
      </c>
      <c r="C25" s="512">
        <f t="shared" si="5"/>
        <v>11.689618105603527</v>
      </c>
      <c r="D25" s="552">
        <v>1216.0309999999999</v>
      </c>
      <c r="E25" s="512">
        <f t="shared" si="5"/>
        <v>12.462969474804794</v>
      </c>
      <c r="F25" s="552">
        <v>1306.059</v>
      </c>
      <c r="G25" s="512">
        <f t="shared" ref="G25" si="9">IF(F$26&lt;&gt;0,F25*100/F$26,0)</f>
        <v>13.02077637208707</v>
      </c>
      <c r="H25" s="5">
        <f t="shared" si="3"/>
        <v>107.4034296823025</v>
      </c>
      <c r="I25" s="3" t="s">
        <v>467</v>
      </c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</row>
    <row r="26" spans="1:179" ht="15" thickBot="1" x14ac:dyDescent="0.35">
      <c r="A26" s="79" t="s">
        <v>536</v>
      </c>
      <c r="B26" s="542">
        <f t="shared" ref="B26:G26" si="10">SUM(B19:B25)</f>
        <v>9551.2530000000006</v>
      </c>
      <c r="C26" s="630">
        <f t="shared" si="10"/>
        <v>99.999999999999986</v>
      </c>
      <c r="D26" s="542">
        <f t="shared" si="10"/>
        <v>9757.1529999999984</v>
      </c>
      <c r="E26" s="630">
        <f t="shared" si="10"/>
        <v>100.00000000000003</v>
      </c>
      <c r="F26" s="542">
        <f t="shared" si="10"/>
        <v>10030.576999999999</v>
      </c>
      <c r="G26" s="630">
        <f t="shared" si="10"/>
        <v>100</v>
      </c>
      <c r="H26" s="543">
        <f t="shared" si="3"/>
        <v>102.80229284095475</v>
      </c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</row>
  </sheetData>
  <mergeCells count="5"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FW14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29.44140625" customWidth="1"/>
    <col min="2" max="2" width="8.6640625" customWidth="1"/>
    <col min="3" max="3" width="6.6640625" customWidth="1"/>
    <col min="4" max="4" width="8.6640625"/>
    <col min="5" max="5" width="6.6640625" customWidth="1"/>
    <col min="6" max="6" width="8.6640625"/>
    <col min="7" max="7" width="6.6640625" customWidth="1"/>
    <col min="8" max="8" width="13.6640625" customWidth="1"/>
  </cols>
  <sheetData>
    <row r="1" spans="1:179" hidden="1" x14ac:dyDescent="0.3"/>
    <row r="2" spans="1:179" x14ac:dyDescent="0.3">
      <c r="A2" s="20"/>
      <c r="B2" s="20"/>
      <c r="C2" s="20"/>
      <c r="D2" s="20"/>
      <c r="E2" s="20"/>
      <c r="F2" s="20"/>
      <c r="G2" s="20"/>
      <c r="H2" s="22"/>
    </row>
    <row r="3" spans="1:179" x14ac:dyDescent="0.3">
      <c r="A3" s="48" t="s">
        <v>256</v>
      </c>
      <c r="B3" s="48"/>
      <c r="C3" s="48"/>
      <c r="D3" s="48"/>
      <c r="E3" s="48"/>
      <c r="F3" s="48"/>
      <c r="G3" s="82"/>
      <c r="H3" s="296" t="s">
        <v>315</v>
      </c>
    </row>
    <row r="4" spans="1:179" x14ac:dyDescent="0.3">
      <c r="A4" s="735" t="s">
        <v>10</v>
      </c>
      <c r="B4" s="737" t="s">
        <v>561</v>
      </c>
      <c r="C4" s="739"/>
      <c r="D4" s="737" t="s">
        <v>562</v>
      </c>
      <c r="E4" s="739"/>
      <c r="F4" s="737" t="s">
        <v>588</v>
      </c>
      <c r="G4" s="739"/>
      <c r="H4" s="751" t="s">
        <v>9</v>
      </c>
    </row>
    <row r="5" spans="1:179" ht="14.1" customHeight="1" x14ac:dyDescent="0.3">
      <c r="A5" s="736"/>
      <c r="B5" s="53" t="s">
        <v>2</v>
      </c>
      <c r="C5" s="83" t="s">
        <v>3</v>
      </c>
      <c r="D5" s="53" t="s">
        <v>2</v>
      </c>
      <c r="E5" s="83" t="s">
        <v>3</v>
      </c>
      <c r="F5" s="53" t="s">
        <v>2</v>
      </c>
      <c r="G5" s="83" t="s">
        <v>3</v>
      </c>
      <c r="H5" s="745"/>
    </row>
    <row r="6" spans="1:179" x14ac:dyDescent="0.3">
      <c r="A6" s="55" t="s">
        <v>422</v>
      </c>
      <c r="B6" s="56">
        <v>973.17899999999997</v>
      </c>
      <c r="C6" s="501">
        <f>IF($B$14&lt;&gt;0,B6*100/$B$14,0)</f>
        <v>12.978210085908483</v>
      </c>
      <c r="D6" s="56">
        <v>995.74099999999999</v>
      </c>
      <c r="E6" s="501">
        <f>IF($D$14&lt;&gt;0,D6*100/$D$14,0)</f>
        <v>13.110204393324171</v>
      </c>
      <c r="F6" s="56">
        <v>861.40499999999997</v>
      </c>
      <c r="G6" s="501">
        <f>IF($F$14&lt;&gt;0,F6*100/$F$14,0)</f>
        <v>11.129109713857961</v>
      </c>
      <c r="H6" s="50">
        <f>IF(D6&lt;&gt;0,F6/D6*100,"-")</f>
        <v>86.508941582198588</v>
      </c>
    </row>
    <row r="7" spans="1:179" x14ac:dyDescent="0.3">
      <c r="A7" s="55" t="s">
        <v>320</v>
      </c>
      <c r="B7" s="56">
        <v>455.73700000000002</v>
      </c>
      <c r="C7" s="501">
        <f>IF($B$14&lt;&gt;0,B7*100/$B$14,0)</f>
        <v>6.0776594335899921</v>
      </c>
      <c r="D7" s="56">
        <v>498.64100000000002</v>
      </c>
      <c r="E7" s="501">
        <f t="shared" ref="E7:E13" si="0">IF($D$14&lt;&gt;0,D7*100/$D$14,0)</f>
        <v>6.5652468150769696</v>
      </c>
      <c r="F7" s="56">
        <v>311.923</v>
      </c>
      <c r="G7" s="501">
        <f t="shared" ref="G7:G13" si="1">IF($F$14&lt;&gt;0,F7*100/$F$14,0)</f>
        <v>4.0299572086018962</v>
      </c>
      <c r="H7" s="50">
        <f t="shared" ref="H7:H14" si="2">IF(D7&lt;&gt;0,F7/D7*100,"-")</f>
        <v>62.554623466582171</v>
      </c>
    </row>
    <row r="8" spans="1:179" x14ac:dyDescent="0.3">
      <c r="A8" s="55" t="s">
        <v>321</v>
      </c>
      <c r="B8" s="56">
        <v>1180.3900000000001</v>
      </c>
      <c r="C8" s="501">
        <f t="shared" ref="C8:C13" si="3">IF($B$14&lt;&gt;0,B8*100/$B$14,0)</f>
        <v>15.741553612753169</v>
      </c>
      <c r="D8" s="56">
        <v>1313.163</v>
      </c>
      <c r="E8" s="501">
        <f t="shared" si="0"/>
        <v>17.289471189547026</v>
      </c>
      <c r="F8" s="56">
        <v>1426.723</v>
      </c>
      <c r="G8" s="501">
        <f t="shared" si="1"/>
        <v>18.432858873914789</v>
      </c>
      <c r="H8" s="50">
        <f t="shared" si="2"/>
        <v>108.64782209063155</v>
      </c>
    </row>
    <row r="9" spans="1:179" x14ac:dyDescent="0.3">
      <c r="A9" s="55" t="s">
        <v>322</v>
      </c>
      <c r="B9" s="56">
        <v>125.45</v>
      </c>
      <c r="C9" s="501">
        <f t="shared" si="3"/>
        <v>1.6729876572318343</v>
      </c>
      <c r="D9" s="56">
        <v>141.857</v>
      </c>
      <c r="E9" s="501">
        <f t="shared" si="0"/>
        <v>1.8677289221030235</v>
      </c>
      <c r="F9" s="56">
        <v>149.23699999999999</v>
      </c>
      <c r="G9" s="501">
        <f t="shared" si="1"/>
        <v>1.9280999603752247</v>
      </c>
      <c r="H9" s="50">
        <f t="shared" si="2"/>
        <v>105.20242215752482</v>
      </c>
    </row>
    <row r="10" spans="1:179" x14ac:dyDescent="0.3">
      <c r="A10" s="55" t="s">
        <v>323</v>
      </c>
      <c r="B10" s="56">
        <v>228.065</v>
      </c>
      <c r="C10" s="501">
        <f t="shared" si="3"/>
        <v>3.0414502195821305</v>
      </c>
      <c r="D10" s="56">
        <v>232.113</v>
      </c>
      <c r="E10" s="501">
        <f t="shared" si="0"/>
        <v>3.05606465169924</v>
      </c>
      <c r="F10" s="56">
        <v>131.697</v>
      </c>
      <c r="G10" s="501">
        <f t="shared" si="1"/>
        <v>1.7014881060429785</v>
      </c>
      <c r="H10" s="50">
        <f t="shared" si="2"/>
        <v>56.73831280453917</v>
      </c>
    </row>
    <row r="11" spans="1:179" x14ac:dyDescent="0.3">
      <c r="A11" s="55" t="s">
        <v>324</v>
      </c>
      <c r="B11" s="56">
        <v>331.22300000000001</v>
      </c>
      <c r="C11" s="501">
        <f t="shared" si="3"/>
        <v>4.4171541713136699</v>
      </c>
      <c r="D11" s="56">
        <v>310.04500000000002</v>
      </c>
      <c r="E11" s="501">
        <f t="shared" si="0"/>
        <v>4.0821391517756043</v>
      </c>
      <c r="F11" s="56">
        <v>265.66300000000001</v>
      </c>
      <c r="G11" s="501">
        <f t="shared" si="1"/>
        <v>3.4322910523071584</v>
      </c>
      <c r="H11" s="50">
        <f t="shared" si="2"/>
        <v>85.685303746230389</v>
      </c>
    </row>
    <row r="12" spans="1:179" x14ac:dyDescent="0.3">
      <c r="A12" s="55" t="s">
        <v>424</v>
      </c>
      <c r="B12" s="56">
        <v>4179.6689999999999</v>
      </c>
      <c r="C12" s="501">
        <f t="shared" si="3"/>
        <v>55.739614574049604</v>
      </c>
      <c r="D12" s="56">
        <v>4084.7060000000001</v>
      </c>
      <c r="E12" s="501">
        <f t="shared" si="0"/>
        <v>53.780381190126349</v>
      </c>
      <c r="F12" s="56">
        <v>4587.915</v>
      </c>
      <c r="G12" s="501">
        <f t="shared" si="1"/>
        <v>59.27456816811447</v>
      </c>
      <c r="H12" s="50">
        <f t="shared" si="2"/>
        <v>112.31934440324468</v>
      </c>
    </row>
    <row r="13" spans="1:179" x14ac:dyDescent="0.3">
      <c r="A13" s="55" t="s">
        <v>153</v>
      </c>
      <c r="B13" s="56">
        <v>24.847999999999999</v>
      </c>
      <c r="C13" s="501">
        <f t="shared" si="3"/>
        <v>0.33137024557111688</v>
      </c>
      <c r="D13" s="56">
        <v>18.893999999999998</v>
      </c>
      <c r="E13" s="501">
        <f t="shared" si="0"/>
        <v>0.24876368634762136</v>
      </c>
      <c r="F13" s="56">
        <v>5.5439999999999996</v>
      </c>
      <c r="G13" s="501">
        <f t="shared" si="1"/>
        <v>7.1626916785517303E-2</v>
      </c>
      <c r="H13" s="50">
        <f t="shared" si="2"/>
        <v>29.342648459828517</v>
      </c>
    </row>
    <row r="14" spans="1:179" s="2" customFormat="1" ht="15" thickBot="1" x14ac:dyDescent="0.35">
      <c r="A14" s="84" t="s">
        <v>30</v>
      </c>
      <c r="B14" s="85">
        <f>SUM(B6:B13)</f>
        <v>7498.5609999999997</v>
      </c>
      <c r="C14" s="502">
        <f t="shared" ref="C14:G14" si="4">SUM(C6:C13)</f>
        <v>100</v>
      </c>
      <c r="D14" s="85">
        <f>SUM(D6:D13)</f>
        <v>7595.16</v>
      </c>
      <c r="E14" s="502">
        <f t="shared" si="4"/>
        <v>100</v>
      </c>
      <c r="F14" s="85">
        <f>SUM(F6:F13)</f>
        <v>7740.107</v>
      </c>
      <c r="G14" s="502">
        <f t="shared" si="4"/>
        <v>100</v>
      </c>
      <c r="H14" s="86">
        <f t="shared" si="2"/>
        <v>101.9084127259992</v>
      </c>
      <c r="I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FT8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30.5546875" customWidth="1"/>
    <col min="2" max="2" width="8.6640625"/>
    <col min="3" max="3" width="5.6640625" customWidth="1"/>
    <col min="4" max="4" width="8.6640625"/>
    <col min="5" max="5" width="5.6640625" customWidth="1"/>
    <col min="6" max="6" width="8.6640625"/>
    <col min="7" max="7" width="5.6640625" customWidth="1"/>
    <col min="8" max="8" width="11.88671875" customWidth="1"/>
  </cols>
  <sheetData>
    <row r="1" spans="1:176" hidden="1" x14ac:dyDescent="0.3"/>
    <row r="2" spans="1:176" x14ac:dyDescent="0.3">
      <c r="A2" s="92"/>
    </row>
    <row r="3" spans="1:176" x14ac:dyDescent="0.3">
      <c r="A3" s="87" t="s">
        <v>257</v>
      </c>
      <c r="B3" s="88"/>
      <c r="C3" s="88"/>
      <c r="D3" s="88"/>
      <c r="E3" s="88"/>
      <c r="F3" s="88"/>
      <c r="G3" s="88"/>
      <c r="H3" s="296" t="s">
        <v>315</v>
      </c>
    </row>
    <row r="4" spans="1:176" x14ac:dyDescent="0.3">
      <c r="A4" s="735" t="s">
        <v>10</v>
      </c>
      <c r="B4" s="746" t="s">
        <v>561</v>
      </c>
      <c r="C4" s="747"/>
      <c r="D4" s="746" t="s">
        <v>562</v>
      </c>
      <c r="E4" s="747"/>
      <c r="F4" s="746" t="s">
        <v>588</v>
      </c>
      <c r="G4" s="747"/>
      <c r="H4" s="752" t="s">
        <v>9</v>
      </c>
    </row>
    <row r="5" spans="1:176" ht="14.1" customHeight="1" x14ac:dyDescent="0.3">
      <c r="A5" s="748"/>
      <c r="B5" s="75" t="s">
        <v>2</v>
      </c>
      <c r="C5" s="76" t="s">
        <v>3</v>
      </c>
      <c r="D5" s="75" t="s">
        <v>2</v>
      </c>
      <c r="E5" s="76" t="s">
        <v>3</v>
      </c>
      <c r="F5" s="75" t="s">
        <v>2</v>
      </c>
      <c r="G5" s="89" t="s">
        <v>3</v>
      </c>
      <c r="H5" s="753"/>
    </row>
    <row r="6" spans="1:176" ht="15" customHeight="1" x14ac:dyDescent="0.3">
      <c r="A6" s="55" t="s">
        <v>15</v>
      </c>
      <c r="B6" s="78">
        <v>5098.2089999999998</v>
      </c>
      <c r="C6" s="512">
        <f>IF($B$8&lt;&gt;0,ROUND(B6*100/$B$8,1),0)</f>
        <v>68</v>
      </c>
      <c r="D6" s="78">
        <v>5231.549</v>
      </c>
      <c r="E6" s="512">
        <f>IF($D$8&lt;&gt;0,ROUND(D6*100/$D$8,1),0)</f>
        <v>68.900000000000006</v>
      </c>
      <c r="F6" s="78">
        <v>5320.3860000000004</v>
      </c>
      <c r="G6" s="514">
        <f>IF($F$8&lt;&gt;0,ROUND(F6*100/$F$8,1),0)</f>
        <v>68.7</v>
      </c>
      <c r="H6" s="6">
        <f>IF(D6&lt;&gt;0,F6/D6*100,"-")</f>
        <v>101.69810126981514</v>
      </c>
    </row>
    <row r="7" spans="1:176" ht="15" customHeight="1" x14ac:dyDescent="0.3">
      <c r="A7" s="55" t="s">
        <v>586</v>
      </c>
      <c r="B7" s="78">
        <v>2400.3519999999999</v>
      </c>
      <c r="C7" s="512">
        <f>IF($B$8&lt;&gt;0,ROUND(B7*100/$B$8,1),0)</f>
        <v>32</v>
      </c>
      <c r="D7" s="78">
        <v>2363.6109999999999</v>
      </c>
      <c r="E7" s="512">
        <f>IF($D$8&lt;&gt;0,ROUND(D7*100/$D$8,1),0)</f>
        <v>31.1</v>
      </c>
      <c r="F7" s="78">
        <v>2419.721</v>
      </c>
      <c r="G7" s="514">
        <f>IF($F$8&lt;&gt;0,ROUND(F7*100/$F$8,1),0)</f>
        <v>31.3</v>
      </c>
      <c r="H7" s="6">
        <f>IF(D7&lt;&gt;0,F7/D7*100,"-")</f>
        <v>102.37391008926598</v>
      </c>
    </row>
    <row r="8" spans="1:176" s="2" customFormat="1" ht="15" customHeight="1" thickBot="1" x14ac:dyDescent="0.35">
      <c r="A8" s="79" t="s">
        <v>30</v>
      </c>
      <c r="B8" s="90">
        <f t="shared" ref="B8:G8" si="0">SUM(B6:B7)</f>
        <v>7498.5609999999997</v>
      </c>
      <c r="C8" s="513">
        <f t="shared" si="0"/>
        <v>100</v>
      </c>
      <c r="D8" s="90">
        <f t="shared" si="0"/>
        <v>7595.16</v>
      </c>
      <c r="E8" s="513">
        <f t="shared" si="0"/>
        <v>100</v>
      </c>
      <c r="F8" s="90">
        <f t="shared" si="0"/>
        <v>7740.107</v>
      </c>
      <c r="G8" s="515">
        <f t="shared" si="0"/>
        <v>100</v>
      </c>
      <c r="H8" s="91">
        <f t="shared" ref="H8" si="1">IF(D8&lt;&gt;0,F8/D8*100,"")</f>
        <v>101.9084127259992</v>
      </c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FW13"/>
  <sheetViews>
    <sheetView showGridLines="0" topLeftCell="A2" zoomScaleNormal="100" workbookViewId="0">
      <selection activeCell="A3" sqref="A3"/>
    </sheetView>
  </sheetViews>
  <sheetFormatPr defaultRowHeight="14.4" x14ac:dyDescent="0.3"/>
  <cols>
    <col min="1" max="1" width="28.6640625" customWidth="1"/>
    <col min="2" max="2" width="9.5546875" customWidth="1"/>
    <col min="3" max="3" width="6.6640625" customWidth="1"/>
    <col min="4" max="4" width="9.5546875" customWidth="1"/>
    <col min="5" max="5" width="6.6640625" customWidth="1"/>
    <col min="6" max="6" width="9.5546875" customWidth="1"/>
    <col min="7" max="7" width="6.6640625" customWidth="1"/>
    <col min="8" max="8" width="9.5546875" customWidth="1"/>
  </cols>
  <sheetData>
    <row r="1" spans="1:179" hidden="1" x14ac:dyDescent="0.3"/>
    <row r="2" spans="1:179" x14ac:dyDescent="0.3">
      <c r="B2" s="20"/>
      <c r="C2" s="20"/>
      <c r="D2" s="20"/>
      <c r="E2" s="20"/>
      <c r="F2" s="20"/>
      <c r="G2" s="20"/>
    </row>
    <row r="3" spans="1:179" x14ac:dyDescent="0.3">
      <c r="A3" s="48" t="s">
        <v>258</v>
      </c>
      <c r="B3" s="48"/>
      <c r="C3" s="48"/>
      <c r="D3" s="48"/>
      <c r="E3" s="48"/>
      <c r="F3" s="48"/>
      <c r="G3" s="93"/>
      <c r="H3" s="296" t="s">
        <v>315</v>
      </c>
    </row>
    <row r="4" spans="1:179" x14ac:dyDescent="0.3">
      <c r="A4" s="735" t="s">
        <v>10</v>
      </c>
      <c r="B4" s="737" t="s">
        <v>561</v>
      </c>
      <c r="C4" s="739"/>
      <c r="D4" s="737" t="s">
        <v>562</v>
      </c>
      <c r="E4" s="739"/>
      <c r="F4" s="737" t="s">
        <v>588</v>
      </c>
      <c r="G4" s="739"/>
      <c r="H4" s="752" t="s">
        <v>9</v>
      </c>
    </row>
    <row r="5" spans="1:179" ht="12" customHeight="1" x14ac:dyDescent="0.3">
      <c r="A5" s="736"/>
      <c r="B5" s="164" t="s">
        <v>2</v>
      </c>
      <c r="C5" s="165" t="s">
        <v>3</v>
      </c>
      <c r="D5" s="164" t="s">
        <v>2</v>
      </c>
      <c r="E5" s="165" t="s">
        <v>3</v>
      </c>
      <c r="F5" s="164" t="s">
        <v>2</v>
      </c>
      <c r="G5" s="165" t="s">
        <v>3</v>
      </c>
      <c r="H5" s="754"/>
    </row>
    <row r="6" spans="1:179" ht="15" customHeight="1" x14ac:dyDescent="0.3">
      <c r="A6" s="96" t="s">
        <v>548</v>
      </c>
      <c r="B6" s="97">
        <f t="shared" ref="B6:G6" si="0">SUM(B7:B9)</f>
        <v>5206.1119999999992</v>
      </c>
      <c r="C6" s="98">
        <f t="shared" si="0"/>
        <v>69.428147613922192</v>
      </c>
      <c r="D6" s="97">
        <f t="shared" si="0"/>
        <v>5571.5329999999994</v>
      </c>
      <c r="E6" s="98">
        <f t="shared" si="0"/>
        <v>73.35636115631533</v>
      </c>
      <c r="F6" s="97">
        <f t="shared" si="0"/>
        <v>5338.8799999999992</v>
      </c>
      <c r="G6" s="98">
        <f t="shared" si="0"/>
        <v>68.97682422219745</v>
      </c>
      <c r="H6" s="99">
        <f>IF(D6&lt;&gt;0,F6/D6*100,"-")</f>
        <v>95.824255191524472</v>
      </c>
    </row>
    <row r="7" spans="1:179" ht="15" customHeight="1" x14ac:dyDescent="0.3">
      <c r="A7" s="55" t="s">
        <v>550</v>
      </c>
      <c r="B7" s="56">
        <v>4803.4489999999996</v>
      </c>
      <c r="C7" s="95">
        <f>IF($B$13&lt;&gt;0,B7*100/$B$13,0)</f>
        <v>64.058277314807469</v>
      </c>
      <c r="D7" s="56">
        <v>5147.8239999999996</v>
      </c>
      <c r="E7" s="95">
        <f>IF($D$13&lt;&gt;0,D7*100/$D$13,0)</f>
        <v>67.777690002580584</v>
      </c>
      <c r="F7" s="56">
        <v>5123.8829999999998</v>
      </c>
      <c r="G7" s="95">
        <f>IF($F$13&lt;&gt;0,F7*100/$F$13,0)</f>
        <v>66.199123603846829</v>
      </c>
      <c r="H7" s="50">
        <f t="shared" ref="H7:H13" si="1">IF(D7&lt;&gt;0,F7/D7*100,"-")</f>
        <v>99.534929710106638</v>
      </c>
    </row>
    <row r="8" spans="1:179" ht="15" customHeight="1" x14ac:dyDescent="0.3">
      <c r="A8" s="55" t="s">
        <v>551</v>
      </c>
      <c r="B8" s="56">
        <v>177.78100000000001</v>
      </c>
      <c r="C8" s="95">
        <f>IF($B$13&lt;&gt;0,B8*100/$B$13,0)</f>
        <v>2.3708682239165624</v>
      </c>
      <c r="D8" s="56">
        <v>84.923000000000002</v>
      </c>
      <c r="E8" s="95">
        <f>IF($D$13&lt;&gt;0,D8*100/$D$13,0)</f>
        <v>1.1181199606064913</v>
      </c>
      <c r="F8" s="56">
        <v>8.4580000000000002</v>
      </c>
      <c r="G8" s="95">
        <f>IF($F$13&lt;&gt;0,F8*100/$F$13,0)</f>
        <v>0.10927497513923259</v>
      </c>
      <c r="H8" s="50">
        <f t="shared" si="1"/>
        <v>9.9596104706616568</v>
      </c>
    </row>
    <row r="9" spans="1:179" ht="15" customHeight="1" x14ac:dyDescent="0.3">
      <c r="A9" s="55" t="s">
        <v>552</v>
      </c>
      <c r="B9" s="56">
        <v>224.88200000000001</v>
      </c>
      <c r="C9" s="95">
        <f>IF($B$13&lt;&gt;0,B9*100/$B$13,0)</f>
        <v>2.9990020751981614</v>
      </c>
      <c r="D9" s="56">
        <v>338.786</v>
      </c>
      <c r="E9" s="95">
        <f>IF($D$13&lt;&gt;0,D9*100/$D$13,0)</f>
        <v>4.4605511931282553</v>
      </c>
      <c r="F9" s="56">
        <v>206.53899999999999</v>
      </c>
      <c r="G9" s="95">
        <f>IF($F$13&lt;&gt;0,F9*100/$F$13,0)</f>
        <v>2.6684256432113922</v>
      </c>
      <c r="H9" s="50">
        <f t="shared" si="1"/>
        <v>60.964443631082744</v>
      </c>
    </row>
    <row r="10" spans="1:179" ht="15" customHeight="1" x14ac:dyDescent="0.3">
      <c r="A10" s="110" t="s">
        <v>549</v>
      </c>
      <c r="B10" s="358">
        <f t="shared" ref="B10:G10" si="2">SUM(B11:B12)</f>
        <v>2292.4490000000001</v>
      </c>
      <c r="C10" s="531">
        <f t="shared" si="2"/>
        <v>30.571852386077811</v>
      </c>
      <c r="D10" s="358">
        <f t="shared" si="2"/>
        <v>2023.627</v>
      </c>
      <c r="E10" s="531">
        <f t="shared" si="2"/>
        <v>26.643638843684663</v>
      </c>
      <c r="F10" s="358">
        <f t="shared" si="2"/>
        <v>2401.2269999999999</v>
      </c>
      <c r="G10" s="531">
        <f t="shared" si="2"/>
        <v>31.023175777802557</v>
      </c>
      <c r="H10" s="532">
        <f>IF(D10&lt;&gt;0,F10/D10*100,"-")</f>
        <v>118.65956522620027</v>
      </c>
    </row>
    <row r="11" spans="1:179" ht="15" customHeight="1" x14ac:dyDescent="0.3">
      <c r="A11" s="55" t="s">
        <v>553</v>
      </c>
      <c r="B11" s="56">
        <v>1979.83</v>
      </c>
      <c r="C11" s="95">
        <f>IF($B$13&lt;&gt;0,B11*100/$B$13,0)</f>
        <v>26.402799150396991</v>
      </c>
      <c r="D11" s="56">
        <v>1747.1389999999999</v>
      </c>
      <c r="E11" s="95">
        <f>IF($D$13&lt;&gt;0,D11*100/$D$13,0)</f>
        <v>23.003320535709584</v>
      </c>
      <c r="F11" s="56">
        <v>2168.6379999999999</v>
      </c>
      <c r="G11" s="95">
        <f>IF($F$13&lt;&gt;0,F11*100/$F$13,0)</f>
        <v>28.018191479781869</v>
      </c>
      <c r="H11" s="50">
        <f t="shared" si="1"/>
        <v>124.12509823202389</v>
      </c>
    </row>
    <row r="12" spans="1:179" ht="15" customHeight="1" x14ac:dyDescent="0.3">
      <c r="A12" s="55" t="s">
        <v>554</v>
      </c>
      <c r="B12" s="56">
        <v>312.61900000000003</v>
      </c>
      <c r="C12" s="95">
        <f>IF($B$13&lt;&gt;0,B12*100/$B$13,0)</f>
        <v>4.1690532356808196</v>
      </c>
      <c r="D12" s="56">
        <v>276.488</v>
      </c>
      <c r="E12" s="95">
        <f>IF($D$13&lt;&gt;0,D12*100/$D$13,0)</f>
        <v>3.6403183079750789</v>
      </c>
      <c r="F12" s="56">
        <v>232.589</v>
      </c>
      <c r="G12" s="95">
        <f>IF($F$13&lt;&gt;0,F12*100/$F$13,0)</f>
        <v>3.0049842980206867</v>
      </c>
      <c r="H12" s="50">
        <f t="shared" si="1"/>
        <v>84.122638233847397</v>
      </c>
    </row>
    <row r="13" spans="1:179" s="2" customFormat="1" ht="15" customHeight="1" thickBot="1" x14ac:dyDescent="0.35">
      <c r="A13" s="84" t="s">
        <v>555</v>
      </c>
      <c r="B13" s="85">
        <f t="shared" ref="B13:G13" si="3">B6+B10</f>
        <v>7498.5609999999997</v>
      </c>
      <c r="C13" s="102">
        <f t="shared" si="3"/>
        <v>100</v>
      </c>
      <c r="D13" s="85">
        <f t="shared" si="3"/>
        <v>7595.16</v>
      </c>
      <c r="E13" s="102">
        <f t="shared" si="3"/>
        <v>100</v>
      </c>
      <c r="F13" s="85">
        <f t="shared" si="3"/>
        <v>7740.1069999999991</v>
      </c>
      <c r="G13" s="102">
        <f t="shared" si="3"/>
        <v>100</v>
      </c>
      <c r="H13" s="103">
        <f t="shared" si="1"/>
        <v>101.90841272599917</v>
      </c>
      <c r="I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41</vt:i4>
      </vt:variant>
    </vt:vector>
  </HeadingPairs>
  <TitlesOfParts>
    <vt:vector size="81" baseType="lpstr">
      <vt:lpstr>Info</vt:lpstr>
      <vt:lpstr>Tabele</vt:lpstr>
      <vt:lpstr>Tab 0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Pr 1</vt:lpstr>
      <vt:lpstr>Pr 2</vt:lpstr>
      <vt:lpstr>Pr 3</vt:lpstr>
      <vt:lpstr>'Tab 33'!_ftn2</vt:lpstr>
      <vt:lpstr>'Tab 33'!_ftn3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34'!Print_Area</vt:lpstr>
      <vt:lpstr>'Tab 4'!Print_Area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2024-03-28T13:12:42Z</dcterms:modified>
</cp:coreProperties>
</file>