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2_Izvjestavanje\2_MjesecniIzvjestaji\2024\12_31122024\1_Banke\2_Konacni\"/>
    </mc:Choice>
  </mc:AlternateContent>
  <xr:revisionPtr revIDLastSave="0" documentId="13_ncr:1_{ECF9913B-8533-4E0D-8608-F521E81D14D3}" xr6:coauthVersionLast="47" xr6:coauthVersionMax="47" xr10:uidLastSave="{00000000-0000-0000-0000-000000000000}"/>
  <bookViews>
    <workbookView xWindow="-108" yWindow="-108" windowWidth="23256" windowHeight="12456" tabRatio="911" xr2:uid="{00000000-000D-0000-FFFF-FFFF00000000}"/>
  </bookViews>
  <sheets>
    <sheet name="Info" sheetId="179" r:id="rId1"/>
    <sheet name="Tabele" sheetId="1" r:id="rId2"/>
    <sheet name="Tab 0" sheetId="178" r:id="rId3"/>
    <sheet name="Tab 1" sheetId="5" r:id="rId4"/>
    <sheet name="Tab 2" sheetId="6" r:id="rId5"/>
    <sheet name="Tab 3" sheetId="259" r:id="rId6"/>
    <sheet name="Tab 4" sheetId="11" r:id="rId7"/>
    <sheet name="Tab 5" sheetId="12" r:id="rId8"/>
    <sheet name="Tab 6" sheetId="13" r:id="rId9"/>
    <sheet name="Tab 7" sheetId="14" r:id="rId10"/>
    <sheet name="Tab 8" sheetId="15" r:id="rId11"/>
    <sheet name="Tab 9" sheetId="17" r:id="rId12"/>
    <sheet name="Tab 10" sheetId="18" r:id="rId13"/>
    <sheet name="Tab 11" sheetId="19" r:id="rId14"/>
    <sheet name="Tab 12" sheetId="22" r:id="rId15"/>
    <sheet name="Tab 13" sheetId="24" r:id="rId16"/>
    <sheet name="Tab 14" sheetId="25" r:id="rId17"/>
    <sheet name="Tab 15" sheetId="26" r:id="rId18"/>
    <sheet name="Tab 16" sheetId="29" r:id="rId19"/>
    <sheet name="Tab 17" sheetId="118" r:id="rId20"/>
    <sheet name="Tab 18" sheetId="288" r:id="rId21"/>
    <sheet name="Tab 19" sheetId="35" r:id="rId22"/>
    <sheet name="Tab 20" sheetId="138" r:id="rId23"/>
    <sheet name="Tab 21" sheetId="139" r:id="rId24"/>
    <sheet name="Tab 22" sheetId="140" r:id="rId25"/>
    <sheet name="Tab 23" sheetId="43" r:id="rId26"/>
    <sheet name="Tab 24" sheetId="44" r:id="rId27"/>
    <sheet name="Tab 25" sheetId="45" r:id="rId28"/>
    <sheet name="Tab 26" sheetId="30" r:id="rId29"/>
    <sheet name="Tab 27" sheetId="31" r:id="rId30"/>
    <sheet name="Tab 28" sheetId="32" r:id="rId31"/>
    <sheet name="Tab 29" sheetId="33" r:id="rId32"/>
    <sheet name="Tab 30" sheetId="50" r:id="rId33"/>
    <sheet name="Tab 31" sheetId="291" r:id="rId34"/>
    <sheet name="Tab 32" sheetId="189" r:id="rId35"/>
    <sheet name="Tab 33" sheetId="185" r:id="rId36"/>
    <sheet name="Tab 34" sheetId="51" r:id="rId37"/>
    <sheet name="Pr 1" sheetId="55" r:id="rId38"/>
    <sheet name="Pr 2" sheetId="7" r:id="rId39"/>
    <sheet name="Pr 3" sheetId="134" r:id="rId40"/>
  </sheets>
  <definedNames>
    <definedName name="_ftn2" localSheetId="35">'Tab 33'!$A$11</definedName>
    <definedName name="_ftn3" localSheetId="35">'Tab 33'!$A$12</definedName>
    <definedName name="polja">#REF!</definedName>
    <definedName name="polja1">#REF!</definedName>
    <definedName name="_xlnm.Print_Area" localSheetId="37">'Pr 1'!$A$1:$J$13</definedName>
    <definedName name="_xlnm.Print_Area" localSheetId="38">'Pr 2'!$A$1:$H$48</definedName>
    <definedName name="_xlnm.Print_Area" localSheetId="39">'Pr 3'!$A$1:$K$31</definedName>
    <definedName name="_xlnm.Print_Area" localSheetId="2">'Tab 0'!$B$1:$F$12</definedName>
    <definedName name="_xlnm.Print_Area" localSheetId="3">'Tab 1'!$A$1:$I$6</definedName>
    <definedName name="_xlnm.Print_Area" localSheetId="12">'Tab 10'!$A$1:$H$26</definedName>
    <definedName name="_xlnm.Print_Area" localSheetId="13">'Tab 11'!$A$1:$H$14</definedName>
    <definedName name="_xlnm.Print_Area" localSheetId="14">'Tab 12'!$A$1:$J$14</definedName>
    <definedName name="_xlnm.Print_Area" localSheetId="15">'Tab 13'!$A$1:$N$20</definedName>
    <definedName name="_xlnm.Print_Area" localSheetId="16">'Tab 14'!$A$1:$N$16</definedName>
    <definedName name="_xlnm.Print_Area" localSheetId="17">'Tab 15'!$A$1:$N$15</definedName>
    <definedName name="_xlnm.Print_Area" localSheetId="18">'Tab 16'!$A$1:$G$10</definedName>
    <definedName name="_xlnm.Print_Area" localSheetId="19">'Tab 17'!$A$2:$F$10</definedName>
    <definedName name="_xlnm.Print_Area" localSheetId="20">'Tab 18'!$A$1:$F$23</definedName>
    <definedName name="_xlnm.Print_Area" localSheetId="21">'Tab 19'!$A$1:$F$18</definedName>
    <definedName name="_xlnm.Print_Area" localSheetId="4">'Tab 2'!$A$1:$D$6</definedName>
    <definedName name="_xlnm.Print_Area" localSheetId="22">'Tab 20'!$A$1:$J$22</definedName>
    <definedName name="_xlnm.Print_Area" localSheetId="23">'Tab 21'!$A$1:$J$19</definedName>
    <definedName name="_xlnm.Print_Area" localSheetId="24">'Tab 22'!$A$1:$J$18</definedName>
    <definedName name="_xlnm.Print_Area" localSheetId="25">'Tab 23'!$A$1:$I$21</definedName>
    <definedName name="_xlnm.Print_Area" localSheetId="26">'Tab 24'!$A$1:$I$10</definedName>
    <definedName name="_xlnm.Print_Area" localSheetId="27">'Tab 25'!$A$1:$I$13</definedName>
    <definedName name="_xlnm.Print_Area" localSheetId="28">'Tab 26'!$A$1:$F$26</definedName>
    <definedName name="_xlnm.Print_Area" localSheetId="29">'Tab 27'!$A$1:$E$8</definedName>
    <definedName name="_xlnm.Print_Area" localSheetId="30">'Tab 28'!$A$1:$F$13</definedName>
    <definedName name="_xlnm.Print_Area" localSheetId="31">'Tab 29'!$A$1:$E$14</definedName>
    <definedName name="_xlnm.Print_Area" localSheetId="5">'Tab 3'!$A$1:$H$27</definedName>
    <definedName name="_xlnm.Print_Area" localSheetId="32">'Tab 30'!$A$1:$F$6</definedName>
    <definedName name="_xlnm.Print_Area" localSheetId="33">'Tab 31'!$A$1:$F$6</definedName>
    <definedName name="_xlnm.Print_Area" localSheetId="34">'Tab 32'!$A$1:$I$16</definedName>
    <definedName name="_xlnm.Print_Area" localSheetId="35">'Tab 33'!$A$1:$D$9</definedName>
    <definedName name="_xlnm.Print_Area" localSheetId="36">'Tab 34'!$A$1:$I$18</definedName>
    <definedName name="_xlnm.Print_Area" localSheetId="6">'Tab 4'!$A$1:$H$14</definedName>
    <definedName name="_xlnm.Print_Area" localSheetId="7">'Tab 5'!$A$1:$H$8</definedName>
    <definedName name="_xlnm.Print_Area" localSheetId="8">'Tab 6'!$A$1:$H$13</definedName>
    <definedName name="_xlnm.Print_Area" localSheetId="9">'Tab 7'!$A$1:$E$12</definedName>
    <definedName name="_xlnm.Print_Area" localSheetId="10">'Tab 8'!$A$1:$N$20</definedName>
    <definedName name="_xlnm.Print_Area" localSheetId="11">'Tab 9'!$A$1:$H$15</definedName>
    <definedName name="_xlnm.Print_Area" localSheetId="1">Tabele!$A$1:$B$39</definedName>
  </definedNames>
  <calcPr calcId="191029"/>
  <customWorkbookViews>
    <customWorkbookView name="Olivera Talijan - Personal View" guid="{5507C501-9942-4310-9E0E-987180BD1180}" mergeInterval="0" personalView="1" maximized="1" windowWidth="1916" windowHeight="834" tabRatio="911" activeSheetId="1"/>
    <customWorkbookView name="ABRS - Personal View" guid="{54A0E5BB-5A66-4415-88CA-030F3BDE4337}" mergeInterval="0" personalView="1" maximized="1" xWindow="1" yWindow="1" windowWidth="1465" windowHeight="582" tabRatio="934" activeSheetId="2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50" l="1"/>
  <c r="B6" i="50"/>
  <c r="D6" i="50"/>
  <c r="E6" i="50"/>
  <c r="F6" i="50"/>
  <c r="H3" i="7" l="1"/>
  <c r="F3" i="288"/>
  <c r="C5" i="33"/>
  <c r="F3" i="32"/>
  <c r="N3" i="45"/>
  <c r="H4" i="18"/>
  <c r="H4" i="13"/>
  <c r="C4" i="185"/>
  <c r="I4" i="189"/>
  <c r="H4" i="189"/>
  <c r="E4" i="33" l="1"/>
  <c r="E4" i="31"/>
  <c r="D9" i="30"/>
  <c r="E9" i="30"/>
  <c r="C9" i="30"/>
  <c r="F3" i="30"/>
  <c r="N8" i="45"/>
  <c r="N9" i="45"/>
  <c r="N10" i="45"/>
  <c r="N11" i="45"/>
  <c r="N12" i="45"/>
  <c r="N7" i="45"/>
  <c r="F5" i="118" l="1"/>
  <c r="N4" i="26" l="1"/>
  <c r="N4" i="25"/>
  <c r="N4" i="24"/>
  <c r="H4" i="19"/>
  <c r="E4" i="14"/>
  <c r="N4" i="15"/>
  <c r="E5" i="14"/>
  <c r="H4" i="12"/>
  <c r="H4" i="11"/>
  <c r="H4" i="259"/>
  <c r="H4" i="17"/>
  <c r="C67" i="30" l="1"/>
  <c r="E66" i="30"/>
  <c r="D66" i="30"/>
  <c r="F66" i="30" s="1"/>
  <c r="C66" i="30"/>
  <c r="C17" i="30"/>
  <c r="C49" i="30"/>
  <c r="C50" i="30"/>
  <c r="C51" i="30"/>
  <c r="C52" i="30"/>
  <c r="C53" i="30"/>
  <c r="C54" i="30"/>
  <c r="C55" i="30"/>
  <c r="C13" i="30" l="1"/>
  <c r="C26" i="30"/>
  <c r="C25" i="30"/>
  <c r="C24" i="30"/>
  <c r="C22" i="30"/>
  <c r="D24" i="30"/>
  <c r="E24" i="30"/>
  <c r="C23" i="30"/>
  <c r="F24" i="30" l="1"/>
  <c r="C11" i="30"/>
  <c r="F6" i="291" l="1"/>
  <c r="E6" i="291"/>
  <c r="D6" i="291"/>
  <c r="C6" i="291"/>
  <c r="B6" i="291"/>
  <c r="D13" i="288" l="1"/>
  <c r="D8" i="288"/>
  <c r="E6" i="288" s="1"/>
  <c r="B8" i="288"/>
  <c r="C6" i="288" s="1"/>
  <c r="F21" i="288"/>
  <c r="F20" i="288"/>
  <c r="F18" i="288"/>
  <c r="F17" i="288"/>
  <c r="F16" i="288"/>
  <c r="F15" i="288"/>
  <c r="F12" i="288"/>
  <c r="F11" i="288"/>
  <c r="F10" i="288"/>
  <c r="F7" i="288"/>
  <c r="F6" i="288"/>
  <c r="F19" i="288"/>
  <c r="B13" i="288"/>
  <c r="C11" i="288" s="1"/>
  <c r="C7" i="288" l="1"/>
  <c r="C8" i="288" s="1"/>
  <c r="F8" i="288"/>
  <c r="F13" i="288"/>
  <c r="C12" i="288"/>
  <c r="B14" i="288"/>
  <c r="E10" i="288"/>
  <c r="D14" i="288"/>
  <c r="E11" i="288"/>
  <c r="C10" i="288"/>
  <c r="E12" i="288"/>
  <c r="E7" i="288"/>
  <c r="E8" i="288" s="1"/>
  <c r="C13" i="288" l="1"/>
  <c r="F14" i="288"/>
  <c r="E13" i="288"/>
  <c r="E26" i="30" l="1"/>
  <c r="E25" i="30"/>
  <c r="F11" i="178" l="1"/>
  <c r="E11" i="178"/>
  <c r="D11" i="178"/>
  <c r="C11" i="178"/>
  <c r="F7" i="178"/>
  <c r="E7" i="178"/>
  <c r="D7" i="178"/>
  <c r="C7" i="178"/>
  <c r="F6" i="17" l="1"/>
  <c r="D6" i="17"/>
  <c r="H14" i="17" l="1"/>
  <c r="H13" i="17"/>
  <c r="H23" i="259"/>
  <c r="H22" i="259"/>
  <c r="E17" i="30" l="1"/>
  <c r="D17" i="30"/>
  <c r="F17" i="30" s="1"/>
  <c r="C19" i="30"/>
  <c r="D26" i="30"/>
  <c r="D25" i="30"/>
  <c r="E19" i="30"/>
  <c r="D19" i="30"/>
  <c r="D16" i="30"/>
  <c r="F19" i="30" l="1"/>
  <c r="F26" i="30"/>
  <c r="F25" i="30"/>
  <c r="F16" i="30"/>
  <c r="F15" i="17"/>
  <c r="C7" i="30" l="1"/>
  <c r="F9" i="30"/>
  <c r="E6" i="30"/>
  <c r="E7" i="30"/>
  <c r="E10" i="30"/>
  <c r="E11" i="30"/>
  <c r="E12" i="30"/>
  <c r="E13" i="30"/>
  <c r="E14" i="30"/>
  <c r="E16" i="30"/>
  <c r="E20" i="30"/>
  <c r="E22" i="30"/>
  <c r="E23" i="30"/>
  <c r="E5" i="30"/>
  <c r="D6" i="30"/>
  <c r="D7" i="30"/>
  <c r="D10" i="30"/>
  <c r="D11" i="30"/>
  <c r="F11" i="30" s="1"/>
  <c r="D12" i="30"/>
  <c r="D13" i="30"/>
  <c r="D14" i="30"/>
  <c r="D20" i="30"/>
  <c r="D22" i="30"/>
  <c r="D23" i="30"/>
  <c r="D5" i="30"/>
  <c r="C5" i="30"/>
  <c r="D49" i="30"/>
  <c r="C10" i="30"/>
  <c r="C12" i="30"/>
  <c r="C14" i="30"/>
  <c r="C16" i="30"/>
  <c r="C20" i="30"/>
  <c r="C6" i="30"/>
  <c r="C56" i="30"/>
  <c r="F23" i="30" l="1"/>
  <c r="F14" i="30"/>
  <c r="F13" i="30"/>
  <c r="F7" i="30"/>
  <c r="F5" i="30"/>
  <c r="F10" i="30"/>
  <c r="F22" i="30"/>
  <c r="F12" i="30"/>
  <c r="F6" i="30"/>
  <c r="F20" i="30"/>
  <c r="C21" i="30"/>
  <c r="D8" i="30"/>
  <c r="C8" i="30"/>
  <c r="D21" i="30"/>
  <c r="F21" i="30" s="1"/>
  <c r="E8" i="30"/>
  <c r="E21" i="30"/>
  <c r="E10" i="118"/>
  <c r="C10" i="118"/>
  <c r="F8" i="30" l="1"/>
  <c r="D15" i="30"/>
  <c r="E15" i="30"/>
  <c r="C15" i="30"/>
  <c r="C18" i="30" s="1"/>
  <c r="D10" i="118"/>
  <c r="F7" i="118"/>
  <c r="F8" i="118"/>
  <c r="F9" i="118"/>
  <c r="F15" i="30" l="1"/>
  <c r="D18" i="30"/>
  <c r="E18" i="30"/>
  <c r="F10" i="118"/>
  <c r="H6" i="7"/>
  <c r="H14" i="7"/>
  <c r="H15" i="7"/>
  <c r="H16" i="7"/>
  <c r="H17" i="7"/>
  <c r="H18" i="7"/>
  <c r="H19" i="7"/>
  <c r="H20" i="7"/>
  <c r="H23" i="7"/>
  <c r="H24" i="7"/>
  <c r="H25" i="7"/>
  <c r="H26" i="7"/>
  <c r="H27" i="7"/>
  <c r="H28" i="7"/>
  <c r="H29" i="7"/>
  <c r="H31" i="7"/>
  <c r="H32" i="7"/>
  <c r="H33" i="7"/>
  <c r="H34" i="7"/>
  <c r="H36" i="7"/>
  <c r="H37" i="7"/>
  <c r="H38" i="7"/>
  <c r="H39" i="7"/>
  <c r="H42" i="7"/>
  <c r="H43" i="7"/>
  <c r="H44" i="7"/>
  <c r="H45" i="7"/>
  <c r="H46" i="7"/>
  <c r="H47" i="7"/>
  <c r="H48" i="7"/>
  <c r="H7" i="7"/>
  <c r="H8" i="7"/>
  <c r="H9" i="7"/>
  <c r="H10" i="7"/>
  <c r="H11" i="7"/>
  <c r="H12" i="7"/>
  <c r="D40" i="7"/>
  <c r="D35" i="7"/>
  <c r="D30" i="7"/>
  <c r="E27" i="7" s="1"/>
  <c r="D21" i="7"/>
  <c r="E20" i="7" s="1"/>
  <c r="D13" i="7"/>
  <c r="E12" i="7" s="1"/>
  <c r="F40" i="7"/>
  <c r="B40" i="7"/>
  <c r="F35" i="7"/>
  <c r="B35" i="7"/>
  <c r="F30" i="7"/>
  <c r="G28" i="7" s="1"/>
  <c r="B30" i="7"/>
  <c r="C26" i="7" s="1"/>
  <c r="F21" i="7"/>
  <c r="G19" i="7" s="1"/>
  <c r="B21" i="7"/>
  <c r="C18" i="7" s="1"/>
  <c r="F13" i="7"/>
  <c r="G11" i="7" s="1"/>
  <c r="B13" i="7"/>
  <c r="C12" i="7" s="1"/>
  <c r="H35" i="7" l="1"/>
  <c r="E6" i="7"/>
  <c r="C25" i="7"/>
  <c r="C11" i="7"/>
  <c r="F18" i="30"/>
  <c r="C9" i="7"/>
  <c r="E28" i="7"/>
  <c r="C10" i="7"/>
  <c r="C7" i="7"/>
  <c r="E29" i="7"/>
  <c r="C17" i="7"/>
  <c r="C29" i="7"/>
  <c r="C28" i="7"/>
  <c r="C6" i="7"/>
  <c r="C27" i="7"/>
  <c r="C16" i="7"/>
  <c r="G8" i="7"/>
  <c r="G25" i="7"/>
  <c r="C8" i="7"/>
  <c r="C24" i="7"/>
  <c r="G12" i="7"/>
  <c r="G29" i="7"/>
  <c r="E15" i="7"/>
  <c r="C15" i="7"/>
  <c r="E16" i="7"/>
  <c r="G16" i="7"/>
  <c r="C20" i="7"/>
  <c r="H30" i="7"/>
  <c r="C19" i="7"/>
  <c r="G20" i="7"/>
  <c r="G6" i="7"/>
  <c r="G7" i="7"/>
  <c r="G15" i="7"/>
  <c r="G24" i="7"/>
  <c r="G9" i="7"/>
  <c r="G17" i="7"/>
  <c r="G26" i="7"/>
  <c r="G10" i="7"/>
  <c r="G18" i="7"/>
  <c r="G27" i="7"/>
  <c r="E7" i="7"/>
  <c r="E17" i="7"/>
  <c r="E8" i="7"/>
  <c r="E18" i="7"/>
  <c r="E9" i="7"/>
  <c r="E19" i="7"/>
  <c r="E24" i="7"/>
  <c r="E10" i="7"/>
  <c r="E25" i="7"/>
  <c r="E11" i="7"/>
  <c r="E26" i="7"/>
  <c r="D22" i="7"/>
  <c r="D41" i="7"/>
  <c r="H40" i="7"/>
  <c r="H21" i="7"/>
  <c r="H13" i="7"/>
  <c r="B22" i="7"/>
  <c r="B41" i="7"/>
  <c r="F41" i="7"/>
  <c r="F22" i="7"/>
  <c r="H41" i="7" l="1"/>
  <c r="H22" i="7"/>
  <c r="C30" i="7"/>
  <c r="C21" i="7"/>
  <c r="C13" i="7"/>
  <c r="E21" i="7"/>
  <c r="E13" i="7"/>
  <c r="G21" i="7"/>
  <c r="G30" i="7"/>
  <c r="E30" i="7"/>
  <c r="G13" i="7"/>
  <c r="F14" i="259"/>
  <c r="B14" i="259"/>
  <c r="D14" i="259"/>
  <c r="F26" i="259" l="1"/>
  <c r="G19" i="259" s="1"/>
  <c r="F13" i="259"/>
  <c r="G12" i="259" s="1"/>
  <c r="D26" i="259"/>
  <c r="E20" i="259" s="1"/>
  <c r="D13" i="259"/>
  <c r="E10" i="259" s="1"/>
  <c r="B26" i="259"/>
  <c r="C20" i="259" s="1"/>
  <c r="B13" i="259"/>
  <c r="C12" i="259" s="1"/>
  <c r="H25" i="259"/>
  <c r="H21" i="259"/>
  <c r="H20" i="259"/>
  <c r="H19" i="259"/>
  <c r="H16" i="259"/>
  <c r="H15" i="259"/>
  <c r="H14" i="259"/>
  <c r="H12" i="259"/>
  <c r="H11" i="259"/>
  <c r="H10" i="259"/>
  <c r="H9" i="259"/>
  <c r="H8" i="259"/>
  <c r="H7" i="259"/>
  <c r="E19" i="259" l="1"/>
  <c r="H26" i="259"/>
  <c r="H13" i="259"/>
  <c r="E9" i="259"/>
  <c r="G23" i="259"/>
  <c r="C7" i="259"/>
  <c r="E8" i="259"/>
  <c r="C9" i="259"/>
  <c r="E11" i="259"/>
  <c r="C25" i="259"/>
  <c r="G10" i="259"/>
  <c r="B17" i="259"/>
  <c r="C11" i="259"/>
  <c r="E7" i="259"/>
  <c r="E12" i="259"/>
  <c r="E21" i="259"/>
  <c r="E22" i="259"/>
  <c r="G7" i="259"/>
  <c r="C22" i="259"/>
  <c r="C21" i="259"/>
  <c r="C10" i="259"/>
  <c r="C19" i="259"/>
  <c r="G21" i="259"/>
  <c r="G22" i="259"/>
  <c r="C8" i="259"/>
  <c r="C23" i="259"/>
  <c r="G8" i="259"/>
  <c r="G20" i="259"/>
  <c r="G9" i="259"/>
  <c r="F17" i="259"/>
  <c r="G25" i="259"/>
  <c r="G11" i="259"/>
  <c r="E23" i="259"/>
  <c r="D17" i="259"/>
  <c r="E25" i="259"/>
  <c r="G26" i="259" l="1"/>
  <c r="G13" i="259"/>
  <c r="H17" i="259"/>
  <c r="C13" i="259"/>
  <c r="E26" i="259"/>
  <c r="C26" i="259"/>
  <c r="E13" i="259"/>
  <c r="F26" i="18" l="1"/>
  <c r="D26" i="18"/>
  <c r="B26" i="18"/>
  <c r="F25" i="18"/>
  <c r="D25" i="18"/>
  <c r="B25" i="18"/>
  <c r="H23" i="18"/>
  <c r="H22" i="18"/>
  <c r="F21" i="18"/>
  <c r="D21" i="18"/>
  <c r="H21" i="18" s="1"/>
  <c r="B21" i="18"/>
  <c r="H20" i="18"/>
  <c r="H19" i="18"/>
  <c r="F18" i="18"/>
  <c r="D18" i="18"/>
  <c r="H18" i="18" s="1"/>
  <c r="B18" i="18"/>
  <c r="H17" i="18"/>
  <c r="H16" i="18"/>
  <c r="F15" i="18"/>
  <c r="D15" i="18"/>
  <c r="B15" i="18"/>
  <c r="H14" i="18"/>
  <c r="H13" i="18"/>
  <c r="F12" i="18"/>
  <c r="D12" i="18"/>
  <c r="B12" i="18"/>
  <c r="H11" i="18"/>
  <c r="H10" i="18"/>
  <c r="F9" i="18"/>
  <c r="D9" i="18"/>
  <c r="B9" i="18"/>
  <c r="H8" i="18"/>
  <c r="H7" i="18"/>
  <c r="F6" i="18"/>
  <c r="D6" i="18"/>
  <c r="B6" i="18"/>
  <c r="H12" i="18" l="1"/>
  <c r="H9" i="18"/>
  <c r="H25" i="18"/>
  <c r="F24" i="18"/>
  <c r="H26" i="18"/>
  <c r="B24" i="18"/>
  <c r="C16" i="18" s="1"/>
  <c r="H6" i="18"/>
  <c r="H15" i="18"/>
  <c r="D24" i="18"/>
  <c r="E6" i="18" l="1"/>
  <c r="G11" i="18"/>
  <c r="G20" i="18"/>
  <c r="G16" i="18"/>
  <c r="G12" i="18"/>
  <c r="G7" i="18"/>
  <c r="G17" i="18"/>
  <c r="G23" i="18"/>
  <c r="G19" i="18"/>
  <c r="G15" i="18"/>
  <c r="G10" i="18"/>
  <c r="G6" i="18"/>
  <c r="G21" i="18"/>
  <c r="G26" i="18"/>
  <c r="G22" i="18"/>
  <c r="G18" i="18"/>
  <c r="G14" i="18"/>
  <c r="G9" i="18"/>
  <c r="G25" i="18"/>
  <c r="G13" i="18"/>
  <c r="G8" i="18"/>
  <c r="E20" i="18"/>
  <c r="E16" i="18"/>
  <c r="E12" i="18"/>
  <c r="E7" i="18"/>
  <c r="E25" i="18"/>
  <c r="E9" i="18"/>
  <c r="E8" i="18"/>
  <c r="E23" i="18"/>
  <c r="E19" i="18"/>
  <c r="E15" i="18"/>
  <c r="E11" i="18"/>
  <c r="E21" i="18"/>
  <c r="E26" i="18"/>
  <c r="E22" i="18"/>
  <c r="E18" i="18"/>
  <c r="E14" i="18"/>
  <c r="E10" i="18"/>
  <c r="E17" i="18"/>
  <c r="E13" i="18"/>
  <c r="H24" i="18"/>
  <c r="C26" i="18"/>
  <c r="C21" i="18"/>
  <c r="C17" i="18"/>
  <c r="C13" i="18"/>
  <c r="C10" i="18"/>
  <c r="C23" i="18"/>
  <c r="C8" i="18"/>
  <c r="C11" i="18"/>
  <c r="C25" i="18"/>
  <c r="C20" i="18"/>
  <c r="C12" i="18"/>
  <c r="C7" i="18"/>
  <c r="C19" i="18"/>
  <c r="C15" i="18"/>
  <c r="C9" i="18"/>
  <c r="C22" i="18"/>
  <c r="C18" i="18"/>
  <c r="C14" i="18"/>
  <c r="C6" i="18"/>
  <c r="B6" i="17"/>
  <c r="D15" i="17"/>
  <c r="H15" i="17" l="1"/>
  <c r="G24" i="18"/>
  <c r="B15" i="17"/>
  <c r="C12" i="17"/>
  <c r="E24" i="18"/>
  <c r="C24" i="18"/>
  <c r="H6" i="17"/>
  <c r="H12" i="17"/>
  <c r="H11" i="17"/>
  <c r="H10" i="17"/>
  <c r="H9" i="17"/>
  <c r="H8" i="17"/>
  <c r="H7" i="17"/>
  <c r="E7" i="17" l="1"/>
  <c r="E8" i="17"/>
  <c r="E9" i="17"/>
  <c r="E10" i="17"/>
  <c r="E11" i="17"/>
  <c r="G7" i="17"/>
  <c r="G8" i="17"/>
  <c r="G9" i="17"/>
  <c r="G10" i="17"/>
  <c r="G11" i="17"/>
  <c r="E12" i="17"/>
  <c r="G12" i="17"/>
  <c r="C7" i="17"/>
  <c r="C8" i="17"/>
  <c r="C9" i="17"/>
  <c r="C10" i="17"/>
  <c r="C11" i="17"/>
  <c r="C6" i="17" l="1"/>
  <c r="G6" i="17"/>
  <c r="E6" i="17"/>
  <c r="B6" i="13" l="1"/>
  <c r="B10" i="13"/>
  <c r="B13" i="13" l="1"/>
  <c r="E45" i="30"/>
  <c r="D45" i="30"/>
  <c r="C45" i="30"/>
  <c r="E46" i="30"/>
  <c r="E47" i="30"/>
  <c r="E48" i="30"/>
  <c r="E49" i="30"/>
  <c r="F49" i="30" s="1"/>
  <c r="E50" i="30"/>
  <c r="E51" i="30"/>
  <c r="E52" i="30"/>
  <c r="E53" i="30"/>
  <c r="E54" i="30"/>
  <c r="E55" i="30"/>
  <c r="E56" i="30"/>
  <c r="E57" i="30"/>
  <c r="E58" i="30"/>
  <c r="E59" i="30"/>
  <c r="E60" i="30"/>
  <c r="E61" i="30"/>
  <c r="E62" i="30"/>
  <c r="E63" i="30"/>
  <c r="E64" i="30"/>
  <c r="E65" i="30"/>
  <c r="E67" i="30"/>
  <c r="E68" i="30"/>
  <c r="E69" i="30"/>
  <c r="D47" i="30"/>
  <c r="D48" i="30"/>
  <c r="D50" i="30"/>
  <c r="D51" i="30"/>
  <c r="D52" i="30"/>
  <c r="D53" i="30"/>
  <c r="D54" i="30"/>
  <c r="D55" i="30"/>
  <c r="D56" i="30"/>
  <c r="D57" i="30"/>
  <c r="D58" i="30"/>
  <c r="D59" i="30"/>
  <c r="D60" i="30"/>
  <c r="D61" i="30"/>
  <c r="D62" i="30"/>
  <c r="D63" i="30"/>
  <c r="D64" i="30"/>
  <c r="D65" i="30"/>
  <c r="D67" i="30"/>
  <c r="D68" i="30"/>
  <c r="D69" i="30"/>
  <c r="D46" i="30"/>
  <c r="C47" i="30"/>
  <c r="C48" i="30"/>
  <c r="C57" i="30"/>
  <c r="C58" i="30"/>
  <c r="C59" i="30"/>
  <c r="C60" i="30"/>
  <c r="C61" i="30"/>
  <c r="C62" i="30"/>
  <c r="C63" i="30"/>
  <c r="C64" i="30"/>
  <c r="C65" i="30"/>
  <c r="C68" i="30"/>
  <c r="C69" i="30"/>
  <c r="C46" i="30"/>
  <c r="F63" i="30" l="1"/>
  <c r="F15" i="35" l="1"/>
  <c r="F14" i="35"/>
  <c r="E15" i="35"/>
  <c r="E14" i="35"/>
  <c r="D15" i="35"/>
  <c r="D14" i="35"/>
  <c r="C15" i="35"/>
  <c r="C14" i="35"/>
  <c r="B15" i="35"/>
  <c r="B14" i="35"/>
  <c r="F8" i="35"/>
  <c r="F7" i="35"/>
  <c r="E8" i="35"/>
  <c r="E7" i="35"/>
  <c r="D8" i="35"/>
  <c r="D7" i="35"/>
  <c r="C8" i="35"/>
  <c r="C7" i="35"/>
  <c r="B8" i="35"/>
  <c r="B7" i="35"/>
  <c r="I8" i="189" l="1"/>
  <c r="I7" i="189"/>
  <c r="I6" i="189"/>
  <c r="I9" i="189"/>
  <c r="I10" i="189"/>
  <c r="I11" i="189"/>
  <c r="I13" i="189"/>
  <c r="I14" i="189"/>
  <c r="H7" i="189"/>
  <c r="H8" i="189"/>
  <c r="H9" i="189"/>
  <c r="H10" i="189"/>
  <c r="H11" i="189"/>
  <c r="H13" i="189"/>
  <c r="H14" i="189"/>
  <c r="H6" i="189"/>
  <c r="B12" i="189"/>
  <c r="G18" i="140"/>
  <c r="G17" i="140"/>
  <c r="G15" i="140"/>
  <c r="G14" i="140"/>
  <c r="G12" i="140"/>
  <c r="G11" i="140"/>
  <c r="D18" i="140"/>
  <c r="D17" i="140"/>
  <c r="D15" i="140"/>
  <c r="D14" i="140"/>
  <c r="D12" i="140"/>
  <c r="D11" i="140"/>
  <c r="J18" i="139"/>
  <c r="J17" i="139"/>
  <c r="J16" i="139"/>
  <c r="J14" i="139"/>
  <c r="J13" i="139"/>
  <c r="J12" i="139"/>
  <c r="G18" i="139"/>
  <c r="G17" i="139"/>
  <c r="G16" i="139"/>
  <c r="G14" i="139"/>
  <c r="G13" i="139"/>
  <c r="G12" i="139"/>
  <c r="D18" i="139"/>
  <c r="D17" i="139"/>
  <c r="D16" i="139"/>
  <c r="D14" i="139"/>
  <c r="D13" i="139"/>
  <c r="D12" i="139"/>
  <c r="J21" i="138"/>
  <c r="J20" i="138"/>
  <c r="J19" i="138"/>
  <c r="J18" i="138"/>
  <c r="G21" i="138"/>
  <c r="G20" i="138"/>
  <c r="G19" i="138"/>
  <c r="G18" i="138"/>
  <c r="D19" i="138"/>
  <c r="D20" i="138"/>
  <c r="D21" i="138"/>
  <c r="D18" i="138"/>
  <c r="D16" i="138"/>
  <c r="J16" i="138"/>
  <c r="G16" i="138"/>
  <c r="J13" i="138"/>
  <c r="J12" i="138"/>
  <c r="J11" i="138"/>
  <c r="J10" i="138"/>
  <c r="G11" i="138"/>
  <c r="G12" i="138"/>
  <c r="G13" i="138"/>
  <c r="G10" i="138"/>
  <c r="D13" i="138"/>
  <c r="D11" i="138"/>
  <c r="D12" i="138"/>
  <c r="D10" i="138"/>
  <c r="J19" i="24"/>
  <c r="H19" i="24"/>
  <c r="D19" i="24"/>
  <c r="B19" i="24"/>
  <c r="L18" i="24"/>
  <c r="F18" i="24"/>
  <c r="N18" i="24" s="1"/>
  <c r="L17" i="24"/>
  <c r="F17" i="24"/>
  <c r="L16" i="24"/>
  <c r="F16" i="24"/>
  <c r="L15" i="24"/>
  <c r="F15" i="24"/>
  <c r="L14" i="24"/>
  <c r="F14" i="24"/>
  <c r="J12" i="24"/>
  <c r="H12" i="24"/>
  <c r="D12" i="24"/>
  <c r="B12" i="24"/>
  <c r="L11" i="24"/>
  <c r="F11" i="24"/>
  <c r="L10" i="24"/>
  <c r="F10" i="24"/>
  <c r="N10" i="24" s="1"/>
  <c r="L9" i="24"/>
  <c r="F9" i="24"/>
  <c r="N9" i="24" s="1"/>
  <c r="L8" i="24"/>
  <c r="F8" i="24"/>
  <c r="L7" i="24"/>
  <c r="F7" i="24"/>
  <c r="N13" i="15"/>
  <c r="F7" i="15"/>
  <c r="N16" i="24" l="1"/>
  <c r="N8" i="24"/>
  <c r="N7" i="24"/>
  <c r="N17" i="24"/>
  <c r="N15" i="24"/>
  <c r="N11" i="24"/>
  <c r="J20" i="24"/>
  <c r="K10" i="24" s="1"/>
  <c r="H20" i="24"/>
  <c r="I7" i="24" s="1"/>
  <c r="F19" i="24"/>
  <c r="L12" i="24"/>
  <c r="L19" i="24"/>
  <c r="D20" i="24"/>
  <c r="E16" i="24" s="1"/>
  <c r="B20" i="24"/>
  <c r="C17" i="24" s="1"/>
  <c r="F12" i="24"/>
  <c r="N14" i="24"/>
  <c r="D6" i="6"/>
  <c r="D5" i="6"/>
  <c r="D4" i="6"/>
  <c r="H5" i="140"/>
  <c r="N19" i="24" l="1"/>
  <c r="N12" i="24"/>
  <c r="E10" i="24"/>
  <c r="K7" i="24"/>
  <c r="K11" i="24"/>
  <c r="K14" i="24"/>
  <c r="K8" i="24"/>
  <c r="K15" i="24"/>
  <c r="K18" i="24"/>
  <c r="K16" i="24"/>
  <c r="K9" i="24"/>
  <c r="K17" i="24"/>
  <c r="E7" i="24"/>
  <c r="I16" i="24"/>
  <c r="C15" i="24"/>
  <c r="I8" i="24"/>
  <c r="C14" i="24"/>
  <c r="I11" i="24"/>
  <c r="E11" i="24"/>
  <c r="E14" i="24"/>
  <c r="E17" i="24"/>
  <c r="E15" i="24"/>
  <c r="E8" i="24"/>
  <c r="E18" i="24"/>
  <c r="E9" i="24"/>
  <c r="L20" i="24"/>
  <c r="I9" i="24"/>
  <c r="I10" i="24"/>
  <c r="I15" i="24"/>
  <c r="C18" i="24"/>
  <c r="I14" i="24"/>
  <c r="I17" i="24"/>
  <c r="C16" i="24"/>
  <c r="I18" i="24"/>
  <c r="C10" i="24"/>
  <c r="C8" i="24"/>
  <c r="C11" i="24"/>
  <c r="C9" i="24"/>
  <c r="C7" i="24"/>
  <c r="F20" i="24"/>
  <c r="K12" i="24" l="1"/>
  <c r="K19" i="24"/>
  <c r="K20" i="24" s="1"/>
  <c r="M17" i="24"/>
  <c r="M9" i="24"/>
  <c r="M14" i="24"/>
  <c r="M18" i="24"/>
  <c r="M16" i="24"/>
  <c r="M11" i="24"/>
  <c r="M10" i="24"/>
  <c r="M15" i="24"/>
  <c r="M8" i="24"/>
  <c r="M7" i="24"/>
  <c r="I12" i="24"/>
  <c r="C19" i="24"/>
  <c r="E19" i="24"/>
  <c r="E12" i="24"/>
  <c r="I19" i="24"/>
  <c r="C12" i="24"/>
  <c r="G16" i="24"/>
  <c r="G8" i="24"/>
  <c r="G18" i="24"/>
  <c r="G14" i="24"/>
  <c r="G10" i="24"/>
  <c r="G17" i="24"/>
  <c r="G15" i="24"/>
  <c r="G11" i="24"/>
  <c r="G7" i="24"/>
  <c r="N20" i="24"/>
  <c r="G9" i="24"/>
  <c r="I20" i="24" l="1"/>
  <c r="M19" i="24"/>
  <c r="C20" i="24"/>
  <c r="E20" i="24"/>
  <c r="M12" i="24"/>
  <c r="G19" i="24"/>
  <c r="G12" i="24"/>
  <c r="M20" i="24" l="1"/>
  <c r="G20" i="24"/>
  <c r="C3" i="185" l="1"/>
  <c r="D3" i="185"/>
  <c r="B3" i="185"/>
  <c r="F15" i="189" l="1"/>
  <c r="D15" i="189"/>
  <c r="B15" i="189"/>
  <c r="F12" i="189"/>
  <c r="D12" i="189"/>
  <c r="I12" i="189" l="1"/>
  <c r="H12" i="189"/>
  <c r="I15" i="189"/>
  <c r="H15" i="189"/>
  <c r="F16" i="189"/>
  <c r="B16" i="189"/>
  <c r="D16" i="189"/>
  <c r="E15" i="189" s="1"/>
  <c r="E12" i="189" l="1"/>
  <c r="E16" i="189" s="1"/>
  <c r="G14" i="189"/>
  <c r="G10" i="189"/>
  <c r="G6" i="189"/>
  <c r="G8" i="189"/>
  <c r="G9" i="189"/>
  <c r="I16" i="189"/>
  <c r="G11" i="189"/>
  <c r="G7" i="189"/>
  <c r="G13" i="189"/>
  <c r="E11" i="189"/>
  <c r="E7" i="189"/>
  <c r="E13" i="189"/>
  <c r="E9" i="189"/>
  <c r="E14" i="189"/>
  <c r="E10" i="189"/>
  <c r="E6" i="189"/>
  <c r="E8" i="189"/>
  <c r="H16" i="189"/>
  <c r="G15" i="189"/>
  <c r="G12" i="189"/>
  <c r="C13" i="189"/>
  <c r="C10" i="189"/>
  <c r="C14" i="189"/>
  <c r="C9" i="189"/>
  <c r="C8" i="189"/>
  <c r="C12" i="189"/>
  <c r="C11" i="189"/>
  <c r="C7" i="189"/>
  <c r="C15" i="189"/>
  <c r="C6" i="189"/>
  <c r="G16" i="189" l="1"/>
  <c r="C16" i="189"/>
  <c r="D8" i="185" l="1"/>
  <c r="C8" i="185"/>
  <c r="B8" i="185"/>
  <c r="D7" i="185"/>
  <c r="C7" i="185"/>
  <c r="B7" i="185"/>
  <c r="D6" i="185"/>
  <c r="C6" i="185"/>
  <c r="B6" i="185"/>
  <c r="D5" i="185"/>
  <c r="C5" i="185"/>
  <c r="B5" i="185"/>
  <c r="D4" i="185"/>
  <c r="B4" i="185"/>
  <c r="B14" i="11" l="1"/>
  <c r="F52" i="30" l="1"/>
  <c r="F51" i="30"/>
  <c r="F48" i="30"/>
  <c r="K28" i="134" l="1"/>
  <c r="K30" i="134"/>
  <c r="K29" i="134"/>
  <c r="K26" i="134"/>
  <c r="K25" i="134"/>
  <c r="K24" i="134"/>
  <c r="K23" i="134"/>
  <c r="K22" i="134"/>
  <c r="K21" i="134"/>
  <c r="K20" i="134"/>
  <c r="K19" i="134"/>
  <c r="K18" i="134"/>
  <c r="K17" i="134"/>
  <c r="K16" i="134"/>
  <c r="K15" i="134"/>
  <c r="K14" i="134"/>
  <c r="K13" i="134"/>
  <c r="K12" i="134"/>
  <c r="K11" i="134"/>
  <c r="K10" i="134"/>
  <c r="K9" i="134"/>
  <c r="K8" i="134"/>
  <c r="K7" i="134"/>
  <c r="K6" i="134"/>
  <c r="I30" i="134" l="1"/>
  <c r="I29" i="134"/>
  <c r="I28" i="134"/>
  <c r="H27" i="134"/>
  <c r="I18" i="140" s="1"/>
  <c r="G27" i="134"/>
  <c r="I15" i="140" s="1"/>
  <c r="F27" i="134"/>
  <c r="I12" i="140" s="1"/>
  <c r="E30" i="134"/>
  <c r="E29" i="134"/>
  <c r="J29" i="134" s="1"/>
  <c r="E28" i="134"/>
  <c r="C27" i="134"/>
  <c r="H15" i="140" s="1"/>
  <c r="D27" i="134"/>
  <c r="B27" i="134"/>
  <c r="H12" i="140" s="1"/>
  <c r="I26" i="134"/>
  <c r="I25" i="134"/>
  <c r="I24" i="134"/>
  <c r="I23" i="134"/>
  <c r="I22" i="134"/>
  <c r="I21" i="134"/>
  <c r="I20" i="134"/>
  <c r="I19" i="134"/>
  <c r="I18" i="134"/>
  <c r="I17" i="134"/>
  <c r="I16" i="134"/>
  <c r="I15" i="134"/>
  <c r="I14" i="134"/>
  <c r="I13" i="134"/>
  <c r="I12" i="134"/>
  <c r="I11" i="134"/>
  <c r="I10" i="134"/>
  <c r="I9" i="134"/>
  <c r="I8" i="134"/>
  <c r="I7" i="134"/>
  <c r="I6" i="134"/>
  <c r="H5" i="134"/>
  <c r="I17" i="140" s="1"/>
  <c r="G5" i="134"/>
  <c r="I14" i="140" s="1"/>
  <c r="F5" i="134"/>
  <c r="I11" i="140" s="1"/>
  <c r="C5" i="134"/>
  <c r="H14" i="140" s="1"/>
  <c r="D5" i="134"/>
  <c r="B5" i="134"/>
  <c r="H11" i="140" s="1"/>
  <c r="E26" i="134"/>
  <c r="J26" i="134" s="1"/>
  <c r="E25" i="134"/>
  <c r="J25" i="134" s="1"/>
  <c r="E24" i="134"/>
  <c r="J24" i="134" s="1"/>
  <c r="E23" i="134"/>
  <c r="J23" i="134" s="1"/>
  <c r="E22" i="134"/>
  <c r="J22" i="134" s="1"/>
  <c r="E21" i="134"/>
  <c r="J21" i="134" s="1"/>
  <c r="E20" i="134"/>
  <c r="J20" i="134" s="1"/>
  <c r="E19" i="134"/>
  <c r="J19" i="134" s="1"/>
  <c r="E18" i="134"/>
  <c r="J18" i="134" s="1"/>
  <c r="E17" i="134"/>
  <c r="J17" i="134" s="1"/>
  <c r="E16" i="134"/>
  <c r="J16" i="134" s="1"/>
  <c r="E15" i="134"/>
  <c r="J15" i="134" s="1"/>
  <c r="E14" i="134"/>
  <c r="J14" i="134" s="1"/>
  <c r="E13" i="134"/>
  <c r="J13" i="134" s="1"/>
  <c r="E12" i="134"/>
  <c r="J12" i="134" s="1"/>
  <c r="E11" i="134"/>
  <c r="J11" i="134" s="1"/>
  <c r="E10" i="134"/>
  <c r="J10" i="134" s="1"/>
  <c r="E9" i="134"/>
  <c r="J9" i="134" s="1"/>
  <c r="E8" i="134"/>
  <c r="J8" i="134" s="1"/>
  <c r="E7" i="134"/>
  <c r="J7" i="134" s="1"/>
  <c r="E6" i="134"/>
  <c r="J6" i="134" s="1"/>
  <c r="J30" i="134" l="1"/>
  <c r="J28" i="134"/>
  <c r="J14" i="140"/>
  <c r="J11" i="140"/>
  <c r="J12" i="140"/>
  <c r="J15" i="140"/>
  <c r="K5" i="134"/>
  <c r="H17" i="140"/>
  <c r="K27" i="134"/>
  <c r="H18" i="140"/>
  <c r="H31" i="134"/>
  <c r="F31" i="134"/>
  <c r="B31" i="134"/>
  <c r="G31" i="134"/>
  <c r="E27" i="134"/>
  <c r="J27" i="134" s="1"/>
  <c r="I27" i="134"/>
  <c r="I5" i="134"/>
  <c r="D31" i="134"/>
  <c r="C31" i="134"/>
  <c r="E5" i="134"/>
  <c r="J5" i="134" s="1"/>
  <c r="K31" i="134" l="1"/>
  <c r="J18" i="140"/>
  <c r="J17" i="140"/>
  <c r="I31" i="134"/>
  <c r="E31" i="134"/>
  <c r="J31" i="134" l="1"/>
  <c r="H16" i="140" l="1"/>
  <c r="C13" i="140"/>
  <c r="I10" i="140"/>
  <c r="I15" i="139"/>
  <c r="H15" i="139"/>
  <c r="F15" i="139"/>
  <c r="E15" i="139"/>
  <c r="C15" i="139"/>
  <c r="B15" i="139"/>
  <c r="I11" i="139"/>
  <c r="H11" i="139"/>
  <c r="F11" i="139"/>
  <c r="E11" i="139"/>
  <c r="C11" i="139"/>
  <c r="B11" i="139"/>
  <c r="I10" i="139"/>
  <c r="H10" i="139"/>
  <c r="F10" i="139"/>
  <c r="E10" i="139"/>
  <c r="C10" i="139"/>
  <c r="B10" i="139"/>
  <c r="I9" i="139"/>
  <c r="H9" i="139"/>
  <c r="F9" i="139"/>
  <c r="E9" i="139"/>
  <c r="C9" i="139"/>
  <c r="B9" i="139"/>
  <c r="I8" i="139"/>
  <c r="H8" i="139"/>
  <c r="F8" i="139"/>
  <c r="E8" i="139"/>
  <c r="C8" i="139"/>
  <c r="B8" i="139"/>
  <c r="I17" i="138"/>
  <c r="H17" i="138"/>
  <c r="F17" i="138"/>
  <c r="E17" i="138"/>
  <c r="C17" i="138"/>
  <c r="B17" i="138"/>
  <c r="I9" i="138"/>
  <c r="H9" i="138"/>
  <c r="F9" i="138"/>
  <c r="E9" i="138"/>
  <c r="E8" i="138" s="1"/>
  <c r="C9" i="138"/>
  <c r="B9" i="138"/>
  <c r="B8" i="138" s="1"/>
  <c r="I8" i="138"/>
  <c r="F8" i="138"/>
  <c r="C8" i="138"/>
  <c r="H8" i="138" l="1"/>
  <c r="J8" i="138" s="1"/>
  <c r="G8" i="138"/>
  <c r="D8" i="138"/>
  <c r="J9" i="138"/>
  <c r="J8" i="139"/>
  <c r="D10" i="139"/>
  <c r="D15" i="139"/>
  <c r="D9" i="138"/>
  <c r="D8" i="139"/>
  <c r="G9" i="139"/>
  <c r="G11" i="139"/>
  <c r="G9" i="138"/>
  <c r="D17" i="138"/>
  <c r="J17" i="138"/>
  <c r="G8" i="139"/>
  <c r="D9" i="139"/>
  <c r="J9" i="139"/>
  <c r="G10" i="139"/>
  <c r="D11" i="139"/>
  <c r="J11" i="139"/>
  <c r="G15" i="139"/>
  <c r="G17" i="138"/>
  <c r="J10" i="139"/>
  <c r="J15" i="139"/>
  <c r="E7" i="139"/>
  <c r="H7" i="138"/>
  <c r="I7" i="138"/>
  <c r="C7" i="139"/>
  <c r="F7" i="138"/>
  <c r="F7" i="139"/>
  <c r="C7" i="138"/>
  <c r="I7" i="139"/>
  <c r="B7" i="139"/>
  <c r="C8" i="140"/>
  <c r="E13" i="140"/>
  <c r="H13" i="140"/>
  <c r="F16" i="140"/>
  <c r="E7" i="138"/>
  <c r="B7" i="138"/>
  <c r="F9" i="140"/>
  <c r="E8" i="140"/>
  <c r="B9" i="140"/>
  <c r="I16" i="140"/>
  <c r="B10" i="140"/>
  <c r="H9" i="140"/>
  <c r="F13" i="140"/>
  <c r="F8" i="140"/>
  <c r="B16" i="140"/>
  <c r="E10" i="140"/>
  <c r="H10" i="140"/>
  <c r="B8" i="140"/>
  <c r="I9" i="140"/>
  <c r="F10" i="140"/>
  <c r="B13" i="140"/>
  <c r="D13" i="140" s="1"/>
  <c r="I13" i="140"/>
  <c r="E9" i="140"/>
  <c r="C16" i="140"/>
  <c r="E16" i="140"/>
  <c r="C9" i="140"/>
  <c r="I8" i="140"/>
  <c r="C10" i="140"/>
  <c r="H8" i="140"/>
  <c r="H7" i="139"/>
  <c r="G10" i="140" l="1"/>
  <c r="D9" i="140"/>
  <c r="G7" i="139"/>
  <c r="D10" i="140"/>
  <c r="D16" i="140"/>
  <c r="G16" i="140"/>
  <c r="D7" i="139"/>
  <c r="G8" i="140"/>
  <c r="J7" i="139"/>
  <c r="G13" i="140"/>
  <c r="D8" i="140"/>
  <c r="G7" i="138"/>
  <c r="G9" i="140"/>
  <c r="D7" i="138"/>
  <c r="J7" i="138"/>
  <c r="J16" i="140"/>
  <c r="J10" i="140"/>
  <c r="J13" i="140"/>
  <c r="J8" i="140"/>
  <c r="J9" i="140"/>
  <c r="H7" i="140"/>
  <c r="I7" i="140"/>
  <c r="E7" i="140"/>
  <c r="F7" i="140"/>
  <c r="B7" i="140"/>
  <c r="C7" i="140"/>
  <c r="G7" i="140" l="1"/>
  <c r="D7" i="140"/>
  <c r="J7" i="140"/>
  <c r="F13" i="26" l="1"/>
  <c r="F7" i="26"/>
  <c r="B5" i="31" l="1"/>
  <c r="F64" i="30"/>
  <c r="F69" i="30"/>
  <c r="F68" i="30"/>
  <c r="F67" i="30"/>
  <c r="F65" i="30"/>
  <c r="F62" i="30"/>
  <c r="F61" i="30"/>
  <c r="F60" i="30"/>
  <c r="F59" i="30"/>
  <c r="F58" i="30"/>
  <c r="F57" i="30"/>
  <c r="F56" i="30"/>
  <c r="F55" i="30"/>
  <c r="F54" i="30"/>
  <c r="F53" i="30"/>
  <c r="F50" i="30"/>
  <c r="C4" i="32" l="1"/>
  <c r="F47" i="30"/>
  <c r="C9" i="32" l="1"/>
  <c r="C7" i="32"/>
  <c r="C12" i="32"/>
  <c r="C13" i="32"/>
  <c r="C10" i="32"/>
  <c r="C6" i="32"/>
  <c r="F46" i="30"/>
  <c r="B18" i="51" l="1"/>
  <c r="I17" i="51"/>
  <c r="H17" i="51"/>
  <c r="I16" i="51"/>
  <c r="H16" i="51"/>
  <c r="I15" i="51"/>
  <c r="H15" i="51"/>
  <c r="I14" i="51"/>
  <c r="H14" i="51"/>
  <c r="I13" i="51"/>
  <c r="H13" i="51"/>
  <c r="I12" i="51"/>
  <c r="H12" i="51"/>
  <c r="I11" i="51"/>
  <c r="H11" i="51"/>
  <c r="I10" i="51"/>
  <c r="H10" i="51"/>
  <c r="I9" i="51"/>
  <c r="H9" i="51"/>
  <c r="I8" i="51"/>
  <c r="H8" i="51"/>
  <c r="I7" i="51"/>
  <c r="H7" i="51"/>
  <c r="I6" i="51"/>
  <c r="H6" i="51"/>
  <c r="G18" i="51"/>
  <c r="F18" i="51"/>
  <c r="H18" i="51" l="1"/>
  <c r="I18" i="51"/>
  <c r="B14" i="19"/>
  <c r="E10" i="14" l="1"/>
  <c r="E8" i="14"/>
  <c r="E7" i="14"/>
  <c r="J10" i="25"/>
  <c r="H10" i="25"/>
  <c r="D10" i="25"/>
  <c r="B10" i="25"/>
  <c r="B19" i="15"/>
  <c r="J12" i="15"/>
  <c r="H12" i="15"/>
  <c r="D12" i="15"/>
  <c r="B12" i="15"/>
  <c r="B20" i="15" l="1"/>
  <c r="E18" i="51"/>
  <c r="D18" i="51"/>
  <c r="C18" i="51"/>
  <c r="C18" i="15" l="1"/>
  <c r="C9" i="15"/>
  <c r="C7" i="15"/>
  <c r="C16" i="15"/>
  <c r="C11" i="15"/>
  <c r="C14" i="15"/>
  <c r="C15" i="15"/>
  <c r="C10" i="15"/>
  <c r="C17" i="15"/>
  <c r="C8" i="15"/>
  <c r="H6" i="11"/>
  <c r="F13" i="55" l="1"/>
  <c r="F13" i="35" l="1"/>
  <c r="D13" i="35"/>
  <c r="D16" i="35" s="1"/>
  <c r="E13" i="35"/>
  <c r="E16" i="35" s="1"/>
  <c r="C13" i="35"/>
  <c r="C16" i="35" s="1"/>
  <c r="B13" i="35"/>
  <c r="B16" i="35" s="1"/>
  <c r="F16" i="35" l="1"/>
  <c r="J15" i="25"/>
  <c r="H12" i="13" l="1"/>
  <c r="H11" i="13"/>
  <c r="H9" i="13"/>
  <c r="H8" i="13"/>
  <c r="H7" i="13"/>
  <c r="H7" i="12"/>
  <c r="H6" i="12"/>
  <c r="F14" i="11" l="1"/>
  <c r="D14" i="11"/>
  <c r="I13" i="55" l="1"/>
  <c r="H13" i="55"/>
  <c r="G13" i="55"/>
  <c r="J13" i="55"/>
  <c r="D5" i="33" l="1"/>
  <c r="B5" i="33"/>
  <c r="E13" i="33"/>
  <c r="E11" i="33"/>
  <c r="E10" i="33"/>
  <c r="E9" i="33"/>
  <c r="E8" i="33"/>
  <c r="E7" i="33"/>
  <c r="E6" i="33"/>
  <c r="D15" i="26"/>
  <c r="B15" i="26"/>
  <c r="H15" i="25"/>
  <c r="D15" i="25"/>
  <c r="B15" i="25"/>
  <c r="H12" i="19"/>
  <c r="H11" i="19"/>
  <c r="H9" i="19"/>
  <c r="H8" i="19"/>
  <c r="H7" i="19"/>
  <c r="F14" i="19"/>
  <c r="D14" i="19"/>
  <c r="D19" i="15"/>
  <c r="F10" i="13"/>
  <c r="F6" i="13"/>
  <c r="D10" i="13"/>
  <c r="D6" i="13"/>
  <c r="D14" i="33" l="1"/>
  <c r="E13" i="26"/>
  <c r="E9" i="26"/>
  <c r="E7" i="26"/>
  <c r="E11" i="26"/>
  <c r="E14" i="26"/>
  <c r="E10" i="26"/>
  <c r="E8" i="26"/>
  <c r="E12" i="26"/>
  <c r="C8" i="26"/>
  <c r="C12" i="26"/>
  <c r="C14" i="26"/>
  <c r="C10" i="26"/>
  <c r="C13" i="26"/>
  <c r="C9" i="26"/>
  <c r="C11" i="26"/>
  <c r="C7" i="26"/>
  <c r="H10" i="13"/>
  <c r="H6" i="13"/>
  <c r="B14" i="33"/>
  <c r="F13" i="13"/>
  <c r="D20" i="15"/>
  <c r="H14" i="19"/>
  <c r="D13" i="13"/>
  <c r="E5" i="33"/>
  <c r="F11" i="32"/>
  <c r="F8" i="32"/>
  <c r="F5" i="32"/>
  <c r="E8" i="31"/>
  <c r="E7" i="31"/>
  <c r="E6" i="31"/>
  <c r="D5" i="31"/>
  <c r="E8" i="29"/>
  <c r="D8" i="29"/>
  <c r="C8" i="29"/>
  <c r="C10" i="29" s="1"/>
  <c r="F9" i="29"/>
  <c r="F7" i="29"/>
  <c r="F6" i="29"/>
  <c r="G9" i="29"/>
  <c r="G7" i="29"/>
  <c r="G6" i="29"/>
  <c r="B8" i="29"/>
  <c r="B10" i="29" s="1"/>
  <c r="J15" i="26"/>
  <c r="H15" i="26"/>
  <c r="L14" i="26"/>
  <c r="F14" i="26"/>
  <c r="L13" i="26"/>
  <c r="L12" i="26"/>
  <c r="F12" i="26"/>
  <c r="L11" i="26"/>
  <c r="F11" i="26"/>
  <c r="L10" i="26"/>
  <c r="F10" i="26"/>
  <c r="L9" i="26"/>
  <c r="F9" i="26"/>
  <c r="L8" i="26"/>
  <c r="F8" i="26"/>
  <c r="L7" i="26"/>
  <c r="J19" i="15"/>
  <c r="H19" i="15"/>
  <c r="H20" i="15" s="1"/>
  <c r="L18" i="15"/>
  <c r="F18" i="15"/>
  <c r="L17" i="15"/>
  <c r="F17" i="15"/>
  <c r="L16" i="15"/>
  <c r="F16" i="15"/>
  <c r="L15" i="15"/>
  <c r="F15" i="15"/>
  <c r="L14" i="15"/>
  <c r="F14" i="15"/>
  <c r="L11" i="15"/>
  <c r="F11" i="15"/>
  <c r="L10" i="15"/>
  <c r="F10" i="15"/>
  <c r="L9" i="15"/>
  <c r="F9" i="15"/>
  <c r="L8" i="15"/>
  <c r="F8" i="15"/>
  <c r="L7" i="15"/>
  <c r="L14" i="25"/>
  <c r="F14" i="25"/>
  <c r="L13" i="25"/>
  <c r="F13" i="25"/>
  <c r="L12" i="25"/>
  <c r="F12" i="25"/>
  <c r="D16" i="25"/>
  <c r="B16" i="25"/>
  <c r="L9" i="25"/>
  <c r="F9" i="25"/>
  <c r="L8" i="25"/>
  <c r="F8" i="25"/>
  <c r="L7" i="25"/>
  <c r="F7" i="25"/>
  <c r="N14" i="25" l="1"/>
  <c r="N13" i="25"/>
  <c r="N12" i="25"/>
  <c r="N9" i="25"/>
  <c r="N8" i="25"/>
  <c r="N7" i="25"/>
  <c r="N7" i="15"/>
  <c r="H13" i="13"/>
  <c r="E10" i="29"/>
  <c r="D10" i="29"/>
  <c r="N9" i="15"/>
  <c r="N17" i="15"/>
  <c r="I14" i="26"/>
  <c r="I10" i="26"/>
  <c r="I8" i="26"/>
  <c r="I12" i="26"/>
  <c r="I7" i="26"/>
  <c r="I13" i="26"/>
  <c r="I11" i="26"/>
  <c r="I9" i="26"/>
  <c r="K13" i="26"/>
  <c r="K9" i="26"/>
  <c r="K7" i="26"/>
  <c r="K11" i="26"/>
  <c r="K14" i="26"/>
  <c r="K10" i="26"/>
  <c r="K8" i="26"/>
  <c r="K12" i="26"/>
  <c r="I17" i="15"/>
  <c r="I10" i="15"/>
  <c r="I15" i="15"/>
  <c r="I7" i="15"/>
  <c r="I8" i="15"/>
  <c r="I14" i="15"/>
  <c r="I18" i="15"/>
  <c r="I11" i="15"/>
  <c r="I16" i="15"/>
  <c r="I9" i="15"/>
  <c r="E18" i="15"/>
  <c r="E14" i="15"/>
  <c r="E9" i="15"/>
  <c r="E16" i="15"/>
  <c r="E11" i="15"/>
  <c r="E17" i="15"/>
  <c r="E10" i="15"/>
  <c r="E8" i="15"/>
  <c r="E15" i="15"/>
  <c r="E7" i="15"/>
  <c r="C13" i="25"/>
  <c r="C9" i="25"/>
  <c r="C12" i="25"/>
  <c r="C8" i="25"/>
  <c r="C14" i="25"/>
  <c r="C7" i="25"/>
  <c r="E9" i="25"/>
  <c r="E13" i="25"/>
  <c r="E7" i="25"/>
  <c r="E14" i="25"/>
  <c r="E8" i="25"/>
  <c r="E12" i="25"/>
  <c r="N8" i="15"/>
  <c r="N10" i="15"/>
  <c r="N14" i="15"/>
  <c r="N16" i="15"/>
  <c r="N18" i="15"/>
  <c r="N11" i="15"/>
  <c r="N15" i="15"/>
  <c r="N8" i="26"/>
  <c r="E4" i="32"/>
  <c r="F12" i="15"/>
  <c r="L10" i="25"/>
  <c r="L12" i="15"/>
  <c r="F10" i="25"/>
  <c r="N10" i="26"/>
  <c r="N12" i="26"/>
  <c r="N14" i="26"/>
  <c r="J20" i="15"/>
  <c r="E12" i="33"/>
  <c r="C14" i="33"/>
  <c r="L19" i="15"/>
  <c r="G8" i="29"/>
  <c r="F8" i="29"/>
  <c r="N9" i="26"/>
  <c r="N11" i="26"/>
  <c r="N13" i="26"/>
  <c r="L15" i="26"/>
  <c r="F15" i="26"/>
  <c r="N7" i="26"/>
  <c r="F19" i="15"/>
  <c r="J16" i="25"/>
  <c r="H16" i="25"/>
  <c r="L15" i="25"/>
  <c r="F15" i="25"/>
  <c r="J13" i="22"/>
  <c r="J12" i="22"/>
  <c r="J11" i="22"/>
  <c r="J10" i="22"/>
  <c r="J9" i="22"/>
  <c r="J8" i="22"/>
  <c r="J7" i="22"/>
  <c r="J6" i="22"/>
  <c r="I14" i="22"/>
  <c r="H14" i="22"/>
  <c r="F14" i="22"/>
  <c r="E14" i="22"/>
  <c r="G13" i="22"/>
  <c r="G12" i="22"/>
  <c r="G11" i="22"/>
  <c r="G10" i="22"/>
  <c r="G9" i="22"/>
  <c r="G8" i="22"/>
  <c r="G7" i="22"/>
  <c r="G6" i="22"/>
  <c r="D13" i="22"/>
  <c r="D12" i="22"/>
  <c r="D11" i="22"/>
  <c r="D10" i="22"/>
  <c r="D9" i="22"/>
  <c r="D8" i="22"/>
  <c r="D7" i="22"/>
  <c r="D6" i="22"/>
  <c r="C14" i="22"/>
  <c r="B14" i="22"/>
  <c r="H14" i="11"/>
  <c r="H13" i="11"/>
  <c r="H12" i="11"/>
  <c r="H11" i="11"/>
  <c r="H10" i="11"/>
  <c r="H9" i="11"/>
  <c r="H8" i="11"/>
  <c r="H7" i="11"/>
  <c r="H13" i="19"/>
  <c r="H10" i="19"/>
  <c r="H6" i="19"/>
  <c r="G12" i="19"/>
  <c r="E13" i="19"/>
  <c r="D6" i="14"/>
  <c r="C6" i="14"/>
  <c r="C9" i="14" s="1"/>
  <c r="B6" i="14"/>
  <c r="B9" i="14" s="1"/>
  <c r="F10" i="29" l="1"/>
  <c r="N15" i="25"/>
  <c r="N10" i="25"/>
  <c r="N19" i="15"/>
  <c r="N12" i="15"/>
  <c r="D9" i="14"/>
  <c r="E14" i="33"/>
  <c r="K16" i="15"/>
  <c r="K8" i="15"/>
  <c r="K18" i="15"/>
  <c r="K14" i="15"/>
  <c r="K10" i="15"/>
  <c r="K15" i="15"/>
  <c r="K7" i="15"/>
  <c r="K9" i="15"/>
  <c r="K11" i="15"/>
  <c r="K17" i="15"/>
  <c r="I12" i="25"/>
  <c r="I14" i="25"/>
  <c r="I8" i="25"/>
  <c r="I13" i="25"/>
  <c r="I7" i="25"/>
  <c r="I9" i="25"/>
  <c r="G10" i="26"/>
  <c r="G14" i="26"/>
  <c r="G8" i="26"/>
  <c r="G12" i="26"/>
  <c r="G9" i="26"/>
  <c r="G11" i="26"/>
  <c r="G13" i="26"/>
  <c r="G7" i="26"/>
  <c r="K13" i="25"/>
  <c r="K7" i="25"/>
  <c r="K9" i="25"/>
  <c r="K14" i="25"/>
  <c r="K8" i="25"/>
  <c r="K12" i="25"/>
  <c r="M12" i="26"/>
  <c r="M8" i="26"/>
  <c r="M14" i="26"/>
  <c r="M10" i="26"/>
  <c r="M13" i="26"/>
  <c r="M9" i="26"/>
  <c r="M7" i="26"/>
  <c r="M11" i="26"/>
  <c r="L20" i="15"/>
  <c r="D11" i="14"/>
  <c r="I12" i="15"/>
  <c r="E6" i="32"/>
  <c r="E7" i="32"/>
  <c r="O7" i="32" s="1"/>
  <c r="E12" i="32"/>
  <c r="E10" i="32"/>
  <c r="O10" i="32" s="1"/>
  <c r="E13" i="32"/>
  <c r="O13" i="32" s="1"/>
  <c r="E9" i="32"/>
  <c r="C12" i="15"/>
  <c r="C11" i="14"/>
  <c r="C12" i="14" s="1"/>
  <c r="E6" i="14"/>
  <c r="E12" i="15"/>
  <c r="E19" i="15"/>
  <c r="C11" i="19"/>
  <c r="C6" i="19"/>
  <c r="C10" i="19"/>
  <c r="C19" i="15"/>
  <c r="I19" i="15"/>
  <c r="G14" i="22"/>
  <c r="D14" i="22"/>
  <c r="J14" i="22"/>
  <c r="G10" i="29"/>
  <c r="C15" i="26"/>
  <c r="I15" i="26"/>
  <c r="E15" i="26"/>
  <c r="N15" i="26"/>
  <c r="K15" i="26"/>
  <c r="F20" i="15"/>
  <c r="L16" i="25"/>
  <c r="F16" i="25"/>
  <c r="G10" i="19"/>
  <c r="G6" i="19"/>
  <c r="G13" i="19"/>
  <c r="G9" i="19"/>
  <c r="G7" i="19"/>
  <c r="G11" i="19"/>
  <c r="C9" i="19"/>
  <c r="C13" i="19"/>
  <c r="C8" i="19"/>
  <c r="C12" i="19"/>
  <c r="C7" i="19"/>
  <c r="G8" i="19"/>
  <c r="E6" i="19"/>
  <c r="E7" i="19"/>
  <c r="E8" i="19"/>
  <c r="E9" i="19"/>
  <c r="E10" i="19"/>
  <c r="E11" i="19"/>
  <c r="E12" i="19"/>
  <c r="B11" i="14"/>
  <c r="B12" i="14" s="1"/>
  <c r="E11" i="13"/>
  <c r="E9" i="13"/>
  <c r="E12" i="13"/>
  <c r="E7" i="13"/>
  <c r="F8" i="12"/>
  <c r="D8" i="12"/>
  <c r="B8" i="12"/>
  <c r="E9" i="14" l="1"/>
  <c r="D12" i="14"/>
  <c r="M14" i="25"/>
  <c r="M8" i="25"/>
  <c r="M12" i="25"/>
  <c r="M9" i="25"/>
  <c r="M13" i="25"/>
  <c r="M7" i="25"/>
  <c r="G18" i="15"/>
  <c r="G8" i="15"/>
  <c r="G7" i="15"/>
  <c r="N20" i="15"/>
  <c r="G16" i="15"/>
  <c r="G10" i="15"/>
  <c r="G15" i="15"/>
  <c r="G9" i="15"/>
  <c r="G17" i="15"/>
  <c r="G11" i="15"/>
  <c r="G14" i="15"/>
  <c r="N16" i="25"/>
  <c r="G13" i="25"/>
  <c r="G8" i="25"/>
  <c r="G7" i="25"/>
  <c r="G14" i="25"/>
  <c r="G12" i="25"/>
  <c r="G9" i="25"/>
  <c r="M15" i="15"/>
  <c r="M14" i="15"/>
  <c r="M9" i="15"/>
  <c r="M17" i="15"/>
  <c r="M7" i="15"/>
  <c r="M11" i="15"/>
  <c r="M18" i="15"/>
  <c r="M8" i="15"/>
  <c r="M16" i="15"/>
  <c r="M10" i="15"/>
  <c r="C20" i="15"/>
  <c r="I15" i="25"/>
  <c r="E20" i="15"/>
  <c r="E11" i="14"/>
  <c r="E10" i="25"/>
  <c r="K12" i="15"/>
  <c r="I10" i="25"/>
  <c r="C10" i="25"/>
  <c r="C7" i="12"/>
  <c r="C6" i="12"/>
  <c r="K10" i="25"/>
  <c r="I20" i="15"/>
  <c r="E14" i="19"/>
  <c r="C14" i="19"/>
  <c r="K19" i="15"/>
  <c r="E6" i="12"/>
  <c r="E7" i="12"/>
  <c r="G6" i="12"/>
  <c r="G7" i="12"/>
  <c r="M15" i="26"/>
  <c r="G15" i="26"/>
  <c r="K15" i="25"/>
  <c r="C15" i="25"/>
  <c r="E15" i="25"/>
  <c r="G14" i="19"/>
  <c r="E8" i="13"/>
  <c r="E6" i="13" s="1"/>
  <c r="G12" i="13"/>
  <c r="G7" i="13"/>
  <c r="G9" i="13"/>
  <c r="G11" i="13"/>
  <c r="G8" i="13"/>
  <c r="C7" i="13"/>
  <c r="C8" i="13"/>
  <c r="C12" i="13"/>
  <c r="C11" i="13"/>
  <c r="C9" i="13"/>
  <c r="E10" i="13"/>
  <c r="H8" i="12"/>
  <c r="E12" i="14" l="1"/>
  <c r="G10" i="25"/>
  <c r="G15" i="25"/>
  <c r="M12" i="15"/>
  <c r="M19" i="15"/>
  <c r="G12" i="15"/>
  <c r="G19" i="15"/>
  <c r="M10" i="25"/>
  <c r="K20" i="15"/>
  <c r="G6" i="13"/>
  <c r="C8" i="12"/>
  <c r="I16" i="25"/>
  <c r="C16" i="25"/>
  <c r="K16" i="25"/>
  <c r="E16" i="25"/>
  <c r="M15" i="25"/>
  <c r="E13" i="13"/>
  <c r="C10" i="13"/>
  <c r="C6" i="13"/>
  <c r="G10" i="13"/>
  <c r="E8" i="12"/>
  <c r="G8" i="12"/>
  <c r="G16" i="25" l="1"/>
  <c r="M20" i="15"/>
  <c r="G20" i="15"/>
  <c r="C13" i="13"/>
  <c r="G13" i="13"/>
  <c r="M16" i="25"/>
  <c r="G13" i="11"/>
  <c r="E12" i="11"/>
  <c r="C12" i="11"/>
  <c r="G12" i="11"/>
  <c r="G10" i="11" l="1"/>
  <c r="G8" i="11"/>
  <c r="C13" i="11"/>
  <c r="G6" i="11"/>
  <c r="E13" i="11"/>
  <c r="G7" i="11"/>
  <c r="G9" i="11"/>
  <c r="G11" i="11"/>
  <c r="C6" i="11"/>
  <c r="C10" i="11"/>
  <c r="C11" i="11"/>
  <c r="C9" i="11"/>
  <c r="C7" i="11"/>
  <c r="C8" i="11"/>
  <c r="E6" i="11"/>
  <c r="E7" i="11"/>
  <c r="E8" i="11"/>
  <c r="E9" i="11"/>
  <c r="E10" i="11"/>
  <c r="E11" i="11"/>
  <c r="C14" i="11" l="1"/>
  <c r="G14" i="11"/>
  <c r="E14" i="11"/>
  <c r="C5" i="31" l="1"/>
  <c r="D4" i="32" l="1"/>
  <c r="D9" i="32" s="1"/>
  <c r="E5" i="31"/>
  <c r="F9" i="32" l="1"/>
  <c r="D7" i="32"/>
  <c r="D6" i="32"/>
  <c r="D13" i="32"/>
  <c r="D12" i="32"/>
  <c r="D10" i="32"/>
  <c r="F4" i="32"/>
  <c r="F12" i="32" l="1"/>
  <c r="F10" i="32"/>
  <c r="F13" i="32"/>
  <c r="F6" i="32"/>
  <c r="F7" i="32"/>
</calcChain>
</file>

<file path=xl/sharedStrings.xml><?xml version="1.0" encoding="utf-8"?>
<sst xmlns="http://schemas.openxmlformats.org/spreadsheetml/2006/main" count="1185" uniqueCount="596">
  <si>
    <t>Датум</t>
  </si>
  <si>
    <t>Број запослених</t>
  </si>
  <si>
    <t>Износ</t>
  </si>
  <si>
    <t>%</t>
  </si>
  <si>
    <t>1.</t>
  </si>
  <si>
    <t>Структура капитала</t>
  </si>
  <si>
    <t>Број банакa</t>
  </si>
  <si>
    <t>Већински домаћи капитал</t>
  </si>
  <si>
    <t xml:space="preserve">Већински страни капитал </t>
  </si>
  <si>
    <t>Индекс</t>
  </si>
  <si>
    <t>ОПИС</t>
  </si>
  <si>
    <t>(у 000 КМ)</t>
  </si>
  <si>
    <t>4. Кредити (бруто)</t>
  </si>
  <si>
    <t>Банкомати</t>
  </si>
  <si>
    <t>Инд.</t>
  </si>
  <si>
    <t xml:space="preserve"> Депозити у КМ</t>
  </si>
  <si>
    <t>Укупно</t>
  </si>
  <si>
    <t>1. Краткорочни депозити</t>
  </si>
  <si>
    <t>2. Дугорочни депозити</t>
  </si>
  <si>
    <t>KM</t>
  </si>
  <si>
    <t>Готов новац</t>
  </si>
  <si>
    <t>Рачун резерви код ЦБ БиХ</t>
  </si>
  <si>
    <t>Рачуни депозита код депоз. инст. у БиХ</t>
  </si>
  <si>
    <t>Рачуни депозита код депоз. инст. у иностр.</t>
  </si>
  <si>
    <t>Новчана средства у процесу наплате</t>
  </si>
  <si>
    <t>Неисплаћени дугови</t>
  </si>
  <si>
    <t>Доспјела потраживања</t>
  </si>
  <si>
    <t>Дугор. кредити 
&gt;1 год.</t>
  </si>
  <si>
    <t>1. Краткорочни кредити</t>
  </si>
  <si>
    <t>2. Дугорочни кредити</t>
  </si>
  <si>
    <t>УКУПНО</t>
  </si>
  <si>
    <t>Период</t>
  </si>
  <si>
    <t>РEГУЛATOРНИ KAПИTAЛ</t>
  </si>
  <si>
    <t>1.1.</t>
  </si>
  <si>
    <t>OСНOВНИ KAПИTAЛ</t>
  </si>
  <si>
    <t>1.1.1.1.</t>
  </si>
  <si>
    <t>1.1.1.2.</t>
  </si>
  <si>
    <t>Емисиона премија на акције</t>
  </si>
  <si>
    <t>1.1.1.3.</t>
  </si>
  <si>
    <t>Задржана добит протеклих година</t>
  </si>
  <si>
    <t>1.1.1.4.</t>
  </si>
  <si>
    <t xml:space="preserve">Призната добит или губитак </t>
  </si>
  <si>
    <t>1.1.1.5.</t>
  </si>
  <si>
    <t>Остали укупни резултат</t>
  </si>
  <si>
    <t>1.1.1.6.</t>
  </si>
  <si>
    <t>Остале резерве</t>
  </si>
  <si>
    <t>1.1.1.7.</t>
  </si>
  <si>
    <t>1.1.1.8.</t>
  </si>
  <si>
    <t>1.1.1.9.</t>
  </si>
  <si>
    <t>(–) Одбици од ставки додатног основног капитала који премашују  додатни основни капитал</t>
  </si>
  <si>
    <t>1.1.2.1.</t>
  </si>
  <si>
    <t>1.1.2.2.</t>
  </si>
  <si>
    <t>(–) Одбици од ставки допунског капитала који премашују допунски капитал</t>
  </si>
  <si>
    <t>1.1.2.3.</t>
  </si>
  <si>
    <t>Одбитак од ставки додатног основног капитала који премашује додатни основни капитал (одбија се од редовног основног капитала)</t>
  </si>
  <si>
    <t>1.2.</t>
  </si>
  <si>
    <t>1.2.1.</t>
  </si>
  <si>
    <t>1.2.2.</t>
  </si>
  <si>
    <t>Опште исправке вриједности за кредитни ризик у складу са стандардизованим приступом</t>
  </si>
  <si>
    <t>1.2.3.</t>
  </si>
  <si>
    <t>Одбитак од ставки допунског капитала који премашује допунски капитал (одбијен у додатном основном капиталу)</t>
  </si>
  <si>
    <t>1.2.4.</t>
  </si>
  <si>
    <t>Елементи или одбици од допунског капитала – остало (недостајући износ регулаторних резерви)</t>
  </si>
  <si>
    <t>РEДOВНИ OСНOВНИ KAПИTAЛ (CET 1)</t>
  </si>
  <si>
    <t>(–) Остала нематеријална имовина</t>
  </si>
  <si>
    <t>ДОДАТНИ ОСНОВНИ КАПИТАЛ (AT 1)</t>
  </si>
  <si>
    <t>ДОПУНСКИ КАПИТАЛ (Т2)</t>
  </si>
  <si>
    <t>1.1.1.</t>
  </si>
  <si>
    <t>1.1.2.</t>
  </si>
  <si>
    <t>Укупан износ изложености ризику</t>
  </si>
  <si>
    <t>Регулаторни капитал</t>
  </si>
  <si>
    <t>Вишак (+) / мањак (–) регулаторног капитала</t>
  </si>
  <si>
    <t>Основни капитал</t>
  </si>
  <si>
    <t>Вишак (+) / мањак (–) основног капитала</t>
  </si>
  <si>
    <t>Редовни основни капитал</t>
  </si>
  <si>
    <t>Вишак (+) / мањак (–) редовног основног капитала</t>
  </si>
  <si>
    <t>Стопа регулаторног капитала (мин. 12%)</t>
  </si>
  <si>
    <t>Стопа основног капитала (мин. 9%)</t>
  </si>
  <si>
    <t xml:space="preserve">Стопа редовног основног капитала (мин. 6,75%) </t>
  </si>
  <si>
    <t>Кратк. кредити
 &lt; 1 год.</t>
  </si>
  <si>
    <t>1. Ставке ванбиланса са фактором конверзије</t>
  </si>
  <si>
    <t xml:space="preserve">        10%</t>
  </si>
  <si>
    <t>2. Остала имовина</t>
  </si>
  <si>
    <t xml:space="preserve">        20%</t>
  </si>
  <si>
    <t xml:space="preserve">        50%</t>
  </si>
  <si>
    <t xml:space="preserve">        100%</t>
  </si>
  <si>
    <t>3. (-) Износ одбитних ставки активе – основни капитал</t>
  </si>
  <si>
    <t>4.Изложености стопе финансијске полуге (1+2+3)</t>
  </si>
  <si>
    <t>5. Основни капитал</t>
  </si>
  <si>
    <t>6. Стопа финансијске полуге (5/4)</t>
  </si>
  <si>
    <t>1. Заштитни слој ликвидности</t>
  </si>
  <si>
    <t>3. Коефицијент покрића ликвидности - LCR (1/2)</t>
  </si>
  <si>
    <t>Износ депозита</t>
  </si>
  <si>
    <t>Износ кредита</t>
  </si>
  <si>
    <t>УКУПНО (1.+2.)</t>
  </si>
  <si>
    <t xml:space="preserve">УКУПНО </t>
  </si>
  <si>
    <t xml:space="preserve"> 2. Пословне јединице банака ФБиХ</t>
  </si>
  <si>
    <t>2. Просјечна нето актива</t>
  </si>
  <si>
    <t>3. Просјечни укупни капитал</t>
  </si>
  <si>
    <t>1. Нето добит</t>
  </si>
  <si>
    <t>а) Приходи од камата и слични приходи</t>
  </si>
  <si>
    <t>ДОБИТ ПРИЈЕ ОПОРЕЗИВАЊА</t>
  </si>
  <si>
    <t>ГУБИТАК</t>
  </si>
  <si>
    <t>ПОРЕЗИ</t>
  </si>
  <si>
    <t>Добит по основу повећ.одл.пор.средст. и смањ.одл.пор.обав.</t>
  </si>
  <si>
    <t>Губит. по основу смањ.одл.пор.средст. и повећ.одл.пор.обав.</t>
  </si>
  <si>
    <t>НЕТО-ДОБИТ</t>
  </si>
  <si>
    <t>НЕТО - ГУБИТАК</t>
  </si>
  <si>
    <t>2. Нето ликвидносни одливи</t>
  </si>
  <si>
    <t>* Укупне приходе чине нето каматни приход и оперативни приход</t>
  </si>
  <si>
    <t>9. Укупни оперативни расходи</t>
  </si>
  <si>
    <t>10. Укупни приходи умањени за остале пословне и директне трошкове*</t>
  </si>
  <si>
    <t>11. Нето каматни приход/просјечна нето актива</t>
  </si>
  <si>
    <t>12. Оперативни приходи/просјечна нето актива</t>
  </si>
  <si>
    <t>13.   Укупни оперативни расходи/
Укупни приходи умањени за остале пословне и директне трошкове (CIR)</t>
  </si>
  <si>
    <t>О П И С</t>
  </si>
  <si>
    <t>НКС</t>
  </si>
  <si>
    <t>ЕКС</t>
  </si>
  <si>
    <t>Унутарбанкарске платне трансакције</t>
  </si>
  <si>
    <t>Међубанкарске платне трансакције</t>
  </si>
  <si>
    <t>Број трансакција</t>
  </si>
  <si>
    <t>5. УКУПНО</t>
  </si>
  <si>
    <t>БАНКА</t>
  </si>
  <si>
    <t xml:space="preserve">СЈЕДИШТЕ </t>
  </si>
  <si>
    <t>АДРЕСА</t>
  </si>
  <si>
    <t>ПРЕДСЈЕДНИК УПРАВЕ</t>
  </si>
  <si>
    <t>Напомена:</t>
  </si>
  <si>
    <t>Агенција за банкарство Републике Српске</t>
  </si>
  <si>
    <t xml:space="preserve"> 2.1. орочена штедња</t>
  </si>
  <si>
    <t xml:space="preserve"> 2.2. штедња по виђењу</t>
  </si>
  <si>
    <t>3. Кредити/Штедња</t>
  </si>
  <si>
    <t>5. Укупно депозити (2+4)</t>
  </si>
  <si>
    <t>6. Кредити/Укупни депозити</t>
  </si>
  <si>
    <t>Укупни кредити</t>
  </si>
  <si>
    <t>Помоћна табела</t>
  </si>
  <si>
    <t>НКС = номиналне каматне стопе; ЕКС = ефективне каматне стопе</t>
  </si>
  <si>
    <t>1.1.1.10</t>
  </si>
  <si>
    <t>(–) Одложена пореска имовина - средства која зависи од будуће   профитабилности  и не произилази из привремених разлика умањених за повезане пореске обавезе</t>
  </si>
  <si>
    <t>(–) Одложена пореска имовина - средства која зависи од будуће профитабилности  и произилази из привремених разлика</t>
  </si>
  <si>
    <t>Укупни капитал</t>
  </si>
  <si>
    <t>6. Нето каматни приход</t>
  </si>
  <si>
    <t>8. Oстали пословни и директни трошкови</t>
  </si>
  <si>
    <t>4.  ROAA (1/2)</t>
  </si>
  <si>
    <t>5.  ROAE (1/3)</t>
  </si>
  <si>
    <t>Готовинске платне трансакције</t>
  </si>
  <si>
    <t>Безготовинске платне трансакције</t>
  </si>
  <si>
    <t>УКУПНО (1-2+3)</t>
  </si>
  <si>
    <t>Опис</t>
  </si>
  <si>
    <t>Учешће</t>
  </si>
  <si>
    <t>Остало</t>
  </si>
  <si>
    <t>Ниво кредитног ризика</t>
  </si>
  <si>
    <t>ECL</t>
  </si>
  <si>
    <t>Укупнo ECL</t>
  </si>
  <si>
    <t>Стопа NPL</t>
  </si>
  <si>
    <t>Укупни кредити правна лица</t>
  </si>
  <si>
    <t>А - Пољопривреда, шумарство и риболов</t>
  </si>
  <si>
    <t>B - Вађење руда и камена</t>
  </si>
  <si>
    <t>C - Прерађивачка индустрија</t>
  </si>
  <si>
    <t>D - Производња и снадбијевање електричном енергијом, гасом, паром и климатизација</t>
  </si>
  <si>
    <t>E - Снадбијевање водом; канализација, управљање отпадом и дјелатности санације (ремедијације) животне средине</t>
  </si>
  <si>
    <t>F - Грађевинарство</t>
  </si>
  <si>
    <t>G - Трговина на велико и на мало; поправак моторних возила и мотоцикала</t>
  </si>
  <si>
    <t>H - Саобраћај и складиштење</t>
  </si>
  <si>
    <t>I - Дјелатности пружања смјештаја, припреме и послуживања хране; хотелијерство и угоститељство</t>
  </si>
  <si>
    <t>Ј - Информације и комуникације</t>
  </si>
  <si>
    <t>К - Финансијске дјелатности и дјелатности осигурања</t>
  </si>
  <si>
    <t>L - Пословање некретнинама</t>
  </si>
  <si>
    <t>M - Стручне, научне и техничке дјелатности</t>
  </si>
  <si>
    <t>N - Административне и помоћне услужне дјелатности</t>
  </si>
  <si>
    <t>O - Јавна управа и одбрана; обавезно социјално осигурање</t>
  </si>
  <si>
    <t>P - Образовање</t>
  </si>
  <si>
    <t>Q - Дјелатности здравствене заштите и социјалног рада</t>
  </si>
  <si>
    <t>R - Умјетност, забава и рекреација</t>
  </si>
  <si>
    <t>S - Остале услужне дјелатности</t>
  </si>
  <si>
    <t>T - Дјелатности домаћинстава као послодаваца; дјелатности домаћинстава која производе различиту робу и обављају различите услуге за сопствену употребу</t>
  </si>
  <si>
    <t>U - Дјелатности екстериторијалних организација и органа</t>
  </si>
  <si>
    <t>Укупни кредити становништва</t>
  </si>
  <si>
    <t xml:space="preserve"> Општа потрошња</t>
  </si>
  <si>
    <t xml:space="preserve"> Стамбена изградња</t>
  </si>
  <si>
    <t xml:space="preserve">Обављање дјелатности </t>
  </si>
  <si>
    <t xml:space="preserve">Укупни кредити </t>
  </si>
  <si>
    <t>Стопа покрив.</t>
  </si>
  <si>
    <t>Биланс</t>
  </si>
  <si>
    <t>Финансијска имовина по амортизованом трошку</t>
  </si>
  <si>
    <t xml:space="preserve">   Дужничке хартије од вриједности</t>
  </si>
  <si>
    <t xml:space="preserve">   Кредити  </t>
  </si>
  <si>
    <t xml:space="preserve">   Остала актива</t>
  </si>
  <si>
    <t>Финансијска имовина по фер вриједности кроз биланс успјеха</t>
  </si>
  <si>
    <t>Остала финансијска потраживања</t>
  </si>
  <si>
    <t>Ванбиланс</t>
  </si>
  <si>
    <t>Издате гаранције</t>
  </si>
  <si>
    <t>Непокривени акредитиви</t>
  </si>
  <si>
    <t>Неопозиво одобрени, неискориштени кредити</t>
  </si>
  <si>
    <t>Остале потенцијалне обавезе банке</t>
  </si>
  <si>
    <t>Ниво кредитног ризика 1</t>
  </si>
  <si>
    <t>Ниво кредитног ризика 2</t>
  </si>
  <si>
    <t>Ниво кредитног ризика 3</t>
  </si>
  <si>
    <t>Кредити</t>
  </si>
  <si>
    <t>Укупно кредити</t>
  </si>
  <si>
    <t>Депозити</t>
  </si>
  <si>
    <t>Tab 3</t>
  </si>
  <si>
    <t>Tab 5</t>
  </si>
  <si>
    <t>Tab 8</t>
  </si>
  <si>
    <t>Tab 10</t>
  </si>
  <si>
    <t>Tab 17</t>
  </si>
  <si>
    <t>3. Пласмани другим банкама</t>
  </si>
  <si>
    <t>1) Каматоносни рачуни депозита код депозитних институција</t>
  </si>
  <si>
    <t>а) Пословни и директни расходи</t>
  </si>
  <si>
    <t>б) Оперативни расходи</t>
  </si>
  <si>
    <t>6. ПОРЕЗИ</t>
  </si>
  <si>
    <t>010</t>
  </si>
  <si>
    <t>015</t>
  </si>
  <si>
    <t>020</t>
  </si>
  <si>
    <t>030</t>
  </si>
  <si>
    <t>040</t>
  </si>
  <si>
    <t>050</t>
  </si>
  <si>
    <t>060</t>
  </si>
  <si>
    <t>070</t>
  </si>
  <si>
    <t xml:space="preserve">   Емисиона премија на акције</t>
  </si>
  <si>
    <t>091</t>
  </si>
  <si>
    <t xml:space="preserve">   (–) Улагања у инструменте редовног основног капитала за које Агенција утврди да не представља реално и прихватљиво повећање регулаторног капитала</t>
  </si>
  <si>
    <t>092</t>
  </si>
  <si>
    <t>130</t>
  </si>
  <si>
    <t>140</t>
  </si>
  <si>
    <t>150</t>
  </si>
  <si>
    <t>160</t>
  </si>
  <si>
    <t>170</t>
  </si>
  <si>
    <t>180</t>
  </si>
  <si>
    <t>200</t>
  </si>
  <si>
    <t>340</t>
  </si>
  <si>
    <t>1.1.1.11</t>
  </si>
  <si>
    <t>350</t>
  </si>
  <si>
    <t>370</t>
  </si>
  <si>
    <t>440</t>
  </si>
  <si>
    <t>490</t>
  </si>
  <si>
    <t>500</t>
  </si>
  <si>
    <t>530</t>
  </si>
  <si>
    <t>540</t>
  </si>
  <si>
    <t>ДОДАТНИ ОСНОВНИ КАПИТАЛ</t>
  </si>
  <si>
    <t>720</t>
  </si>
  <si>
    <t>740</t>
  </si>
  <si>
    <t>750</t>
  </si>
  <si>
    <t>760</t>
  </si>
  <si>
    <t>ДОПУНСКИ КАПИТАЛ</t>
  </si>
  <si>
    <t>890</t>
  </si>
  <si>
    <t>920</t>
  </si>
  <si>
    <t>970</t>
  </si>
  <si>
    <t>978</t>
  </si>
  <si>
    <t>Банке РС и организациони дијелови банака из ФБиХ у РС</t>
  </si>
  <si>
    <t>Тржишно учешће банака у укупној активи, капиталу и депозитима</t>
  </si>
  <si>
    <t>Актива по запосленом</t>
  </si>
  <si>
    <t>Секторска структура депозита</t>
  </si>
  <si>
    <t>Структура депозита по валути</t>
  </si>
  <si>
    <t>Рочна структура депозита</t>
  </si>
  <si>
    <t>Структура ванбилансне активе</t>
  </si>
  <si>
    <t>Структура новчаних средстава</t>
  </si>
  <si>
    <t>Секторска структура укупних кредита</t>
  </si>
  <si>
    <t>Прикупљени депозити и пласирани кредити</t>
  </si>
  <si>
    <t>Биланс успјеха банкарског сектора РС</t>
  </si>
  <si>
    <t>ROAA и ROAE показатељи</t>
  </si>
  <si>
    <t>Укупна финансијска имовина према начину вредновања и ЕCL</t>
  </si>
  <si>
    <t>Укупна финансијска имовина према нивоима кредитног ризика</t>
  </si>
  <si>
    <t>Преглед кредита правним и физичким лицима према нивоу кредитног ризика и припадајући ECL</t>
  </si>
  <si>
    <t>Просјечне пондерисане каматне стопе на кредите</t>
  </si>
  <si>
    <t>Просјечне пондерисане каматне стопе на депозите</t>
  </si>
  <si>
    <t>Просјечне пондерисане каматне стопе на прекорачења и депозите по виђењу</t>
  </si>
  <si>
    <t xml:space="preserve">Укупна изложеност банкарског сектора ризику </t>
  </si>
  <si>
    <t>Показатељи адекватности капитала</t>
  </si>
  <si>
    <t>Стопа финансијске полуге</t>
  </si>
  <si>
    <t>Основни подаци о банкама</t>
  </si>
  <si>
    <t>Tab 1</t>
  </si>
  <si>
    <t>Tab 2</t>
  </si>
  <si>
    <t>Tab 4</t>
  </si>
  <si>
    <t>Tab 6</t>
  </si>
  <si>
    <t>Tab 7</t>
  </si>
  <si>
    <t>Tab 9</t>
  </si>
  <si>
    <t>Tab 11</t>
  </si>
  <si>
    <t>Tab 12</t>
  </si>
  <si>
    <t>Tab 13</t>
  </si>
  <si>
    <t>Tab 14</t>
  </si>
  <si>
    <t>Tab 15</t>
  </si>
  <si>
    <t>Tab 16</t>
  </si>
  <si>
    <t>Tab 18</t>
  </si>
  <si>
    <t>Tab 19</t>
  </si>
  <si>
    <t>Tab 20</t>
  </si>
  <si>
    <t>Tab 21</t>
  </si>
  <si>
    <t>Tab 22</t>
  </si>
  <si>
    <t>Tab 23</t>
  </si>
  <si>
    <t>Tab 24</t>
  </si>
  <si>
    <t>Tab 25</t>
  </si>
  <si>
    <t>Tab 26</t>
  </si>
  <si>
    <t>Tab 27</t>
  </si>
  <si>
    <t>Tab 28</t>
  </si>
  <si>
    <t>Tab 29</t>
  </si>
  <si>
    <t>Tab 30</t>
  </si>
  <si>
    <t>Tab 31</t>
  </si>
  <si>
    <t>Tab 32</t>
  </si>
  <si>
    <t>Tab 33</t>
  </si>
  <si>
    <t>Tab 34</t>
  </si>
  <si>
    <t>Pr 1</t>
  </si>
  <si>
    <t>Pr 2</t>
  </si>
  <si>
    <t>Табеле</t>
  </si>
  <si>
    <t>Рочна и секторска структура депозита</t>
  </si>
  <si>
    <t>Рочна и секторска структура кредита</t>
  </si>
  <si>
    <t>Рочна структура кредита</t>
  </si>
  <si>
    <t>Задуженост становништва по кредитима (осим кредита за обављање дјелатности)</t>
  </si>
  <si>
    <t xml:space="preserve">   Новчана средства, новч. пот. и ост. депоз. по виђењу</t>
  </si>
  <si>
    <t>Унутрашњи платни промет</t>
  </si>
  <si>
    <t>Остали организациони дијелови</t>
  </si>
  <si>
    <t>POS уређаји</t>
  </si>
  <si>
    <t>мил. КМ</t>
  </si>
  <si>
    <t>у укупној активи</t>
  </si>
  <si>
    <t>у укупном капиталу</t>
  </si>
  <si>
    <t>у депозитима</t>
  </si>
  <si>
    <t>АКТИВА (ИМОВИНА)</t>
  </si>
  <si>
    <t>Јавна и државна предузећа</t>
  </si>
  <si>
    <t>Приватна предузећа и друштва</t>
  </si>
  <si>
    <t>Непрофитне организације</t>
  </si>
  <si>
    <t xml:space="preserve">Банке и банкарске институције </t>
  </si>
  <si>
    <t>Небанкарске фин. институције</t>
  </si>
  <si>
    <t>Влада и владине инст.</t>
  </si>
  <si>
    <t>Привреда</t>
  </si>
  <si>
    <t>Банке и др.фин.инст.</t>
  </si>
  <si>
    <t>за општу потрошњу</t>
  </si>
  <si>
    <t>за стамбене потребе</t>
  </si>
  <si>
    <t>куповина робе шир. потрош.</t>
  </si>
  <si>
    <t>куповина аутомобила</t>
  </si>
  <si>
    <t>по картицама</t>
  </si>
  <si>
    <t>прекорачења по рачунима</t>
  </si>
  <si>
    <t>куповина хартија од вријед.</t>
  </si>
  <si>
    <t>ломбардни кредити</t>
  </si>
  <si>
    <t>Индекс депозита</t>
  </si>
  <si>
    <t>Индекс кредита</t>
  </si>
  <si>
    <t>ФИНАНСИЈСКА ИМОВИНА</t>
  </si>
  <si>
    <t>Понд. кам. стопе на кратк. кредите</t>
  </si>
  <si>
    <t>Кредити влади и влад. инст.</t>
  </si>
  <si>
    <t>Привреди</t>
  </si>
  <si>
    <t>Становништву</t>
  </si>
  <si>
    <t>Остали кредити</t>
  </si>
  <si>
    <t>Понд. кам. стопе на дуг. кредите</t>
  </si>
  <si>
    <t>Стамбени кредити</t>
  </si>
  <si>
    <t>Понд. кам. стопе на укупне кредите</t>
  </si>
  <si>
    <t>Рочна структура депозита по преосталом доспијећу</t>
  </si>
  <si>
    <t xml:space="preserve"> %</t>
  </si>
  <si>
    <t>1 - 7 дана</t>
  </si>
  <si>
    <t>8 - 15 дана</t>
  </si>
  <si>
    <t>16 -30 дана</t>
  </si>
  <si>
    <t>31 -90 дана</t>
  </si>
  <si>
    <t>91 -180 дана</t>
  </si>
  <si>
    <t>181 -365 дана</t>
  </si>
  <si>
    <t>1. Укупно краткорочни</t>
  </si>
  <si>
    <t>Преко 5 година</t>
  </si>
  <si>
    <t>2. Укупно дугорочни</t>
  </si>
  <si>
    <t>Укупно (I + II)</t>
  </si>
  <si>
    <t>Показатељи ликвидности</t>
  </si>
  <si>
    <t>Ликвидна средства*/нето актива</t>
  </si>
  <si>
    <t>Ликвидна средства*/краткорочне финансијске обавезе</t>
  </si>
  <si>
    <t>Краткорочне финансијске обавезе/укупне финансијске обавезе</t>
  </si>
  <si>
    <t>Кредити/(депозити и узети кредити)</t>
  </si>
  <si>
    <t>Кредити/(депозити и узети кредити и субординисани дугови)</t>
  </si>
  <si>
    <t>*Ликвидна средства у ужем смислу: готовина и депозити и друга финансијска средства са преосталим роком доспијећа мањим од три мјесеца, искључујући међубанкарске депозите</t>
  </si>
  <si>
    <t>1.Ликвидна средства*</t>
  </si>
  <si>
    <t>2. Нето актива</t>
  </si>
  <si>
    <t>3. Краткорочне финансијске обавезе</t>
  </si>
  <si>
    <t>4. Укупне финансијске обавезе</t>
  </si>
  <si>
    <t>5. Бруто кредити</t>
  </si>
  <si>
    <t>6. Депозити</t>
  </si>
  <si>
    <t>7. Узети кредити</t>
  </si>
  <si>
    <t>8. Субординисани дугови</t>
  </si>
  <si>
    <t>Пондерисане каматне стопе на кредите (прекорачења по рачунима)</t>
  </si>
  <si>
    <t xml:space="preserve">Понд. кам. стопе на депозите по виђењу </t>
  </si>
  <si>
    <t>Кредитни ризик</t>
  </si>
  <si>
    <t>Тржишни ризик (девизни ризик)</t>
  </si>
  <si>
    <t>Оперативни ризик</t>
  </si>
  <si>
    <t>Износ (у мил. КМ)</t>
  </si>
  <si>
    <t>Актива</t>
  </si>
  <si>
    <t>Финансијска имовина по фер вриједности кроз остали укупни резултат*</t>
  </si>
  <si>
    <t>*У складу са новом регулативом ECL на дужничке хартије од вриједности евидентиран је кроз остали ук. резултат као ставка капитала</t>
  </si>
  <si>
    <t>мил.КМ</t>
  </si>
  <si>
    <t>Биланс стања</t>
  </si>
  <si>
    <t>Нето актива</t>
  </si>
  <si>
    <t>мил. КМ и %</t>
  </si>
  <si>
    <t>Стопа покр. NPL</t>
  </si>
  <si>
    <t>Коефицијент покрића ликвидности - LCR</t>
  </si>
  <si>
    <t>Намјена кред. за опш. потрошњу</t>
  </si>
  <si>
    <t>укупно правна лица и становништво</t>
  </si>
  <si>
    <t>Банке и др. фин.инст.</t>
  </si>
  <si>
    <t>за обављ. дјелатности</t>
  </si>
  <si>
    <t>остали кредити за општу потрошњу</t>
  </si>
  <si>
    <t>ненамјенски готовински кредити</t>
  </si>
  <si>
    <t xml:space="preserve"> 3. УКУПНО</t>
  </si>
  <si>
    <t>7. Оперативни приходи</t>
  </si>
  <si>
    <t>Pr 3</t>
  </si>
  <si>
    <t>Кредити банкама и другим фин. инст.</t>
  </si>
  <si>
    <t>Понд. кам. стопе на укупне депозите</t>
  </si>
  <si>
    <t>Понд. каматне стопе на дугор. депозите</t>
  </si>
  <si>
    <t>Понд. каматне стопе на кратк. депозите</t>
  </si>
  <si>
    <t xml:space="preserve">Подаци се објављују са циљем правовремене информисаности  јавности, медија и других корисника о основним показатељима пословања банкарског сектора, али напомињемо да се коначним подацима сматрају подаци објављени у Извјештају о банкарском систему Републике Српске који усваја Управни одбор Агенције за банкарство Републике Српске, те који се објављује на кварталној основи на нашој званичној интернет страници.  </t>
  </si>
  <si>
    <t>Влада и владине институције</t>
  </si>
  <si>
    <t>Износ         (у мил. КМ)</t>
  </si>
  <si>
    <t>Становништво</t>
  </si>
  <si>
    <t>1. Кредити становништва</t>
  </si>
  <si>
    <t>2. Штедња становништва</t>
  </si>
  <si>
    <t>4. Текући рачуни становништва</t>
  </si>
  <si>
    <t>Кредити и штедња становништва</t>
  </si>
  <si>
    <t>Становништвo</t>
  </si>
  <si>
    <t>1. Краткорочни кредити становништва</t>
  </si>
  <si>
    <t>2. Дугорочни кредити становништва</t>
  </si>
  <si>
    <t>Структура кредита становништву банака РС и посл. јединица банака из ФБиХ</t>
  </si>
  <si>
    <t>Намјенска структура кредита становништву за општу потрошњу</t>
  </si>
  <si>
    <t>Преглед кредита правним лицима и становништву према нивоу кредитног ризика и припадајући ECL</t>
  </si>
  <si>
    <t>Ризични ванбиланс</t>
  </si>
  <si>
    <t>1. Неопозиво одобрени, а неискоришћени кредити</t>
  </si>
  <si>
    <t xml:space="preserve">2. Непокривени акредитиви </t>
  </si>
  <si>
    <t>3. Издате гаранције</t>
  </si>
  <si>
    <t xml:space="preserve">    3.1. Плативе гаранције</t>
  </si>
  <si>
    <t xml:space="preserve">    3.2. Чинидбене гаранције</t>
  </si>
  <si>
    <t xml:space="preserve">4. Остале ванбилансне ставке </t>
  </si>
  <si>
    <t>Опозиве кредитне обавезе</t>
  </si>
  <si>
    <t>Комисиони послови</t>
  </si>
  <si>
    <t>1. Новчана средства</t>
  </si>
  <si>
    <t xml:space="preserve">2. Хартије од вриједности </t>
  </si>
  <si>
    <t>5. Пословни простор и остала фиксна актива</t>
  </si>
  <si>
    <t>6. Остала актива</t>
  </si>
  <si>
    <t xml:space="preserve">БРУТО БИЛАНСНА АКТИВА </t>
  </si>
  <si>
    <t>8. Исправке вриједности</t>
  </si>
  <si>
    <t xml:space="preserve">   8.1. Исправке вриједности за ставке кредита</t>
  </si>
  <si>
    <t xml:space="preserve">   8.2. Исправке вријед. за ставке активе осим кредита</t>
  </si>
  <si>
    <t xml:space="preserve">НЕТО БИЛАНСНА АКТИВА </t>
  </si>
  <si>
    <t>ОБАВЕЗE</t>
  </si>
  <si>
    <t>10. Депозити</t>
  </si>
  <si>
    <t>11. Обавезе по узетим кредитима</t>
  </si>
  <si>
    <t>12. Субординисани дугови</t>
  </si>
  <si>
    <t>КАПИТАЛ</t>
  </si>
  <si>
    <t>девизе</t>
  </si>
  <si>
    <t>Tab 0</t>
  </si>
  <si>
    <t>Биланс успјеха</t>
  </si>
  <si>
    <t>1.                          ПРИХОДИ И РАСХОДИ ПО КАМАТАМА</t>
  </si>
  <si>
    <t>2) Пласмани другим банкама</t>
  </si>
  <si>
    <t>3) Кредити и послови лизинга</t>
  </si>
  <si>
    <t>4) Вриједносни папири који се држе до доспијећа</t>
  </si>
  <si>
    <t>5) Власнички вриједносни папири</t>
  </si>
  <si>
    <t>6) Потраживања по пла}еним ванбилансним обавезама</t>
  </si>
  <si>
    <t>7) Остали приходи од камата и слични приходи</t>
  </si>
  <si>
    <t>8) УКУПНИ ПРИХОДИ ОД КАМАТА И СЛИЧНИ ПРИХОДИ  (1 до 7)</t>
  </si>
  <si>
    <t>б) Расходи по каматама и слични расходи</t>
  </si>
  <si>
    <t xml:space="preserve">1) Депозити </t>
  </si>
  <si>
    <t>2) Узете позајмице од других банака</t>
  </si>
  <si>
    <t>3) Узете позајмице - доспјеле обавезе</t>
  </si>
  <si>
    <t>4) Обавезе по узетим кредитима и осталим позајмицама</t>
  </si>
  <si>
    <t>5) Субординисани дугови и субординисане обвезнице</t>
  </si>
  <si>
    <t>6) Остали расходи по каматама и сл. расходи</t>
  </si>
  <si>
    <t>7) УКУПНИ РАСХОДИ ПО КАМАТАМА И СЛ.РАСХОДИ  (1 до 6)</t>
  </si>
  <si>
    <t xml:space="preserve">в) НЕТО КАМАТА И СЛИЧНИ ПРИХОДИ     а.8)-б.7)    </t>
  </si>
  <si>
    <t>2.                              ОПЕРАТИВНИ ПРИХОДИ</t>
  </si>
  <si>
    <t>а) Приходи из пословања са девизама</t>
  </si>
  <si>
    <t>б) Накнаде по кредитима</t>
  </si>
  <si>
    <t xml:space="preserve">в) Накнаде по ванбилансним пословима </t>
  </si>
  <si>
    <t>г) Накнаде за извршене услуге</t>
  </si>
  <si>
    <t>д) Приход из послова трговања</t>
  </si>
  <si>
    <t>ђ) Остали оперативни приходи</t>
  </si>
  <si>
    <t>е) УКУПНИ ОПЕРАТИВНИ ПРИХОДИ (а до ђ )</t>
  </si>
  <si>
    <t xml:space="preserve"> 3.                           НЕКАМАТОНОСНИ РАСХОДИ</t>
  </si>
  <si>
    <t>1)  Тро{к. резерви за општи кред.ризик и пот. кред. и др. губитке</t>
  </si>
  <si>
    <t>2)  Остали пословни и директни тро{кови</t>
  </si>
  <si>
    <t>3)  УКУПНИ ПОСЛОВНИ И ДИРЕКТНИ РАСХОДИ    1) + 2)</t>
  </si>
  <si>
    <t>1)  Трошкови плата и доприноса</t>
  </si>
  <si>
    <t>2)  Трошкови пословног простора, остале фиксне активе и ре`ија</t>
  </si>
  <si>
    <t>3)  Остали оперативни трошкови</t>
  </si>
  <si>
    <t>4)  УКУПНИ ОПЕРАТИВНИ РАСХОДИ   (1 до 3)</t>
  </si>
  <si>
    <t xml:space="preserve">в) УКУПНИ НЕКАМАТОНОСНИ РАСХОДИ   а.3) + б.4)  </t>
  </si>
  <si>
    <t>4.  ДОБИТ ПРИЈЕ ОПОРЕЗИВАЊА</t>
  </si>
  <si>
    <t>5.  ГУБИТАК</t>
  </si>
  <si>
    <t>7. Добит по основу одложених пор.средст и смањ.одлож.пор.обавеза</t>
  </si>
  <si>
    <t>8. Губитак по основу смањ.одлож.пор.средст. и повећања одл.пор.обав.</t>
  </si>
  <si>
    <t>9.  НЕТО-ДОБИТ (4. - 6. + 7. - 8.)</t>
  </si>
  <si>
    <t>10.  НЕТО-ГУБИТАК (5. + 6. - 7. + 8.)</t>
  </si>
  <si>
    <t xml:space="preserve">Биланс успјеха </t>
  </si>
  <si>
    <t xml:space="preserve">мил. КМ </t>
  </si>
  <si>
    <t xml:space="preserve"> Ставке редовног основног капитала</t>
  </si>
  <si>
    <t xml:space="preserve">   Остали укупни резултат</t>
  </si>
  <si>
    <t xml:space="preserve">   Остале резерве</t>
  </si>
  <si>
    <t xml:space="preserve"> (-) Одбитне ставке од редовног основног капитала</t>
  </si>
  <si>
    <t xml:space="preserve">   (–) Одложена пореска имовина </t>
  </si>
  <si>
    <t xml:space="preserve">   (–) Остали одбици од редовног основног капитала</t>
  </si>
  <si>
    <t xml:space="preserve"> (–) Одбици од додатног основног капитала</t>
  </si>
  <si>
    <t xml:space="preserve"> (–) Одбици од допунског капитала</t>
  </si>
  <si>
    <t xml:space="preserve">   (–) Нематеријала имовина</t>
  </si>
  <si>
    <t>РEДOВНИ OСНOВНИ KAПИTAЛ</t>
  </si>
  <si>
    <t xml:space="preserve">Kредити становништву </t>
  </si>
  <si>
    <t>Опште исправке вриједности</t>
  </si>
  <si>
    <t>978 од 01.01.2020 је увијек 0</t>
  </si>
  <si>
    <t>970 од 31.12.2021. увијек 0</t>
  </si>
  <si>
    <t>13. Резервисања за ванбилансне ставке</t>
  </si>
  <si>
    <t>14. Остале обавезе</t>
  </si>
  <si>
    <t>15. Капитал</t>
  </si>
  <si>
    <t>Пословне јединице/ Филијале</t>
  </si>
  <si>
    <t>ПАСИВА (ОБАВЕЗЕ И КАПИТАЛ)</t>
  </si>
  <si>
    <t>УКУПНО ВАНБИЛАНС</t>
  </si>
  <si>
    <t>Правна лица</t>
  </si>
  <si>
    <t>1. ПРИХОДИ ПО КАМАТАМА И СЛ. ПРИХОДИ</t>
  </si>
  <si>
    <t>б) Оперативни приходи</t>
  </si>
  <si>
    <t>2. УКУПНИ ПРИХОДИ (1.а+1.б)</t>
  </si>
  <si>
    <t>3. РАСХОДИ</t>
  </si>
  <si>
    <t>а) Расходи по каматама и слични расходи</t>
  </si>
  <si>
    <t>б) Пословни и директни расходи</t>
  </si>
  <si>
    <t>в) Оперативни расходи</t>
  </si>
  <si>
    <t>4. УКУПНИ РАСХОДИ (3.а+3.б+3.в)</t>
  </si>
  <si>
    <t>УКУПНИ ПРИХОДИ - РАСХОДИ (2.- 4.)</t>
  </si>
  <si>
    <t>Укупно кратк. депозити</t>
  </si>
  <si>
    <t>Укупно дугор. депозити</t>
  </si>
  <si>
    <t>Депозити по виђењу</t>
  </si>
  <si>
    <t>До 3 мјесеца</t>
  </si>
  <si>
    <t>До 1 године</t>
  </si>
  <si>
    <t xml:space="preserve">До 3 године </t>
  </si>
  <si>
    <t>Преко 3 године</t>
  </si>
  <si>
    <t>Укупно депозити</t>
  </si>
  <si>
    <t>од 1 до 5 година</t>
  </si>
  <si>
    <t>Коефицијент нето стабилних извора финансирања - NSFR</t>
  </si>
  <si>
    <t>1. Расположиво стабилно финансирање</t>
  </si>
  <si>
    <t>2. Потребно стабилно финансирање</t>
  </si>
  <si>
    <t>3.  Коефицијент нето стабилних извора финансирања - NSFR (1/2)</t>
  </si>
  <si>
    <t>2022.</t>
  </si>
  <si>
    <t>Банке из Републике Српске и организациони дијелови банака из ФБиХ у Републици Српској</t>
  </si>
  <si>
    <t>Структура кредита становништву банака из Републике Српске и пословних јединица банака из ФБиХ у Републици Српској</t>
  </si>
  <si>
    <t>Банке из Републике Српске</t>
  </si>
  <si>
    <t>II Организациони дијелови банака из ФБиХ у Републици Српској</t>
  </si>
  <si>
    <t>I Банке из Републике Српске</t>
  </si>
  <si>
    <t>Орг. дијелови банака из ФБиХ у Републици Српској</t>
  </si>
  <si>
    <t>1. банке из Републике Српске</t>
  </si>
  <si>
    <t>2. пословне јединице банака из Републике Српске у ФБиХ</t>
  </si>
  <si>
    <t>3. пословне јединице банака из ФБиХ у Републици Српској</t>
  </si>
  <si>
    <t>"Нова банка" а.д. Бања Лука</t>
  </si>
  <si>
    <t>"НЛБ банка" а.д. Бања Лука</t>
  </si>
  <si>
    <t>"UniCredit Bank" а.д. Бања Лука</t>
  </si>
  <si>
    <t>"Atos Bank" а.д. Бања Лука</t>
  </si>
  <si>
    <t>"Addiko Bank" а.д. Бања Лука</t>
  </si>
  <si>
    <t>"МФ банка" а.д. Бања Лука</t>
  </si>
  <si>
    <t>"Банка Поштанска штедионица" а.д. Бања Лука</t>
  </si>
  <si>
    <t>становништвo</t>
  </si>
  <si>
    <t>становништво</t>
  </si>
  <si>
    <t>Биланс успјеха банкарског сектора Републике Српске</t>
  </si>
  <si>
    <t xml:space="preserve"> 1. Банке Републике Српске</t>
  </si>
  <si>
    <t xml:space="preserve"> 4. Минус: Пословне јед. банака Републике Српске у ФБиХ</t>
  </si>
  <si>
    <t>ТАБЕЛЕ ЗА ИЗВЈЕШТАЈ О СТАЊУ У БАНКАРСКОМ СЕКТОРУ РЕПУБЛИКЕ СРПСКЕ</t>
  </si>
  <si>
    <t xml:space="preserve"> Депозити у страној валути</t>
  </si>
  <si>
    <t>352</t>
  </si>
  <si>
    <t xml:space="preserve">Инструменти подређених друштава који су признати у допунском капиталу </t>
  </si>
  <si>
    <r>
      <rPr>
        <sz val="9"/>
        <color rgb="FFFF0000"/>
        <rFont val="Calibri"/>
        <family val="2"/>
        <charset val="204"/>
      </rPr>
      <t xml:space="preserve">У цјелости </t>
    </r>
    <r>
      <rPr>
        <sz val="9"/>
        <rFont val="Calibri"/>
        <family val="2"/>
        <charset val="204"/>
      </rPr>
      <t>уплаћени инструменти капитала</t>
    </r>
  </si>
  <si>
    <r>
      <t xml:space="preserve">Инструменти капитала </t>
    </r>
    <r>
      <rPr>
        <sz val="9"/>
        <color rgb="FFFF0000"/>
        <rFont val="Calibri"/>
        <family val="2"/>
        <charset val="204"/>
      </rPr>
      <t>и рачуни емисионе премије</t>
    </r>
    <r>
      <rPr>
        <sz val="9"/>
        <rFont val="Calibri"/>
        <family val="2"/>
        <charset val="204"/>
      </rPr>
      <t xml:space="preserve"> који се признају као додатни основни капитал</t>
    </r>
  </si>
  <si>
    <r>
      <t xml:space="preserve">Инструменти капитала </t>
    </r>
    <r>
      <rPr>
        <sz val="9"/>
        <color rgb="FFFF0000"/>
        <rFont val="Calibri"/>
        <family val="2"/>
        <charset val="204"/>
      </rPr>
      <t>и рачуни емисионе премије</t>
    </r>
    <r>
      <rPr>
        <sz val="9"/>
        <rFont val="Calibri"/>
        <family val="2"/>
        <charset val="204"/>
      </rPr>
      <t xml:space="preserve"> који се признају као допунски капитал</t>
    </r>
  </si>
  <si>
    <t>2023.</t>
  </si>
  <si>
    <t>06/2024.</t>
  </si>
  <si>
    <t>У цјелости уплаћени инструмeнти кaпитaлa</t>
  </si>
  <si>
    <t xml:space="preserve">   Задржана добит или губитак протеклих година</t>
  </si>
  <si>
    <r>
      <t xml:space="preserve">   Призната добит или губитак</t>
    </r>
    <r>
      <rPr>
        <strike/>
        <sz val="9"/>
        <rFont val="Calibri"/>
        <family val="2"/>
        <charset val="204"/>
        <scheme val="minor"/>
      </rPr>
      <t xml:space="preserve"> </t>
    </r>
    <r>
      <rPr>
        <sz val="9"/>
        <rFont val="Calibri"/>
        <family val="2"/>
        <charset val="204"/>
        <scheme val="minor"/>
      </rPr>
      <t>текуће године</t>
    </r>
  </si>
  <si>
    <t xml:space="preserve"> Инструменти капитала и рачуни емисионе премије који се признају као додатни основни капитал</t>
  </si>
  <si>
    <t xml:space="preserve"> Инструменти капитала и рачуни емисионе премије који се признају као допунски капитал</t>
  </si>
  <si>
    <t>31.12.2024</t>
  </si>
  <si>
    <t>2024.</t>
  </si>
  <si>
    <t>31.12.2023</t>
  </si>
  <si>
    <t>"Наша банка" а.д. Бaња Лука</t>
  </si>
  <si>
    <t>12/2020.</t>
  </si>
  <si>
    <t>12/2021.</t>
  </si>
  <si>
    <t>12/2022.</t>
  </si>
  <si>
    <t>12/2023.</t>
  </si>
  <si>
    <t>12/2024.</t>
  </si>
  <si>
    <t>551</t>
  </si>
  <si>
    <t>771</t>
  </si>
  <si>
    <t>03/2024.</t>
  </si>
  <si>
    <t>09/2024.</t>
  </si>
  <si>
    <t>01/2024.</t>
  </si>
  <si>
    <t>02/2024.</t>
  </si>
  <si>
    <t>04/2024.</t>
  </si>
  <si>
    <t>05/2024.</t>
  </si>
  <si>
    <t>07/2024.</t>
  </si>
  <si>
    <t>08/2024.</t>
  </si>
  <si>
    <t>10/2024.</t>
  </si>
  <si>
    <t>11/2024.</t>
  </si>
  <si>
    <t>Spas Blagovestov Vidarkinsky</t>
  </si>
  <si>
    <t>Јеврејска 71</t>
  </si>
  <si>
    <t>Јеврејска 69</t>
  </si>
  <si>
    <t>Алеја Светог Саве 13</t>
  </si>
  <si>
    <t>Алеја Светог Саве 61</t>
  </si>
  <si>
    <t>Бања Лука</t>
  </si>
  <si>
    <t>Краqа Алфонса 13 бр 37А</t>
  </si>
  <si>
    <t>Синиша Аџић</t>
  </si>
  <si>
    <t>Горан Бабић</t>
  </si>
  <si>
    <t>Игор Јовичић</t>
  </si>
  <si>
    <t>Слађан Станић</t>
  </si>
  <si>
    <t>Дејан Вуклишевић</t>
  </si>
  <si>
    <t>Марко Максимовић</t>
  </si>
  <si>
    <t>Ивана Фрање Јукића 1</t>
  </si>
  <si>
    <t>Марије Бурсаћ 7</t>
  </si>
  <si>
    <t>Милана Тепића 4</t>
  </si>
  <si>
    <t>Александар Кременовић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</si>
</sst>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"/>
    <numFmt numFmtId="166" formatCode="0.0%"/>
    <numFmt numFmtId="167" formatCode="_ * #,##0.00_)\ _D_i_n_._ ;_ * \(#,##0.00\)\ _D_i_n_._ ;_ * &quot;-&quot;??_)\ _D_i_n_._ ;_ @_ "/>
    <numFmt numFmtId="168" formatCode="0.000"/>
    <numFmt numFmtId="169" formatCode="0.0000"/>
  </numFmts>
  <fonts count="86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rgb="FF63242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Calibri"/>
      <family val="2"/>
      <charset val="204"/>
    </font>
    <font>
      <b/>
      <sz val="9"/>
      <name val="Calibri"/>
      <family val="2"/>
      <charset val="204"/>
    </font>
    <font>
      <sz val="9"/>
      <color rgb="FF800000"/>
      <name val="Calibri"/>
      <family val="2"/>
      <charset val="204"/>
    </font>
    <font>
      <sz val="9"/>
      <name val="Calibri"/>
      <family val="2"/>
      <charset val="204"/>
      <scheme val="minor"/>
    </font>
    <font>
      <b/>
      <sz val="9"/>
      <color rgb="FF800000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color rgb="FF80000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9"/>
      <color theme="1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rgb="FF632423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1"/>
      <color rgb="FF8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b/>
      <sz val="15"/>
      <color rgb="FF632423"/>
      <name val="Calibri"/>
      <family val="2"/>
      <charset val="204"/>
    </font>
    <font>
      <sz val="9"/>
      <color rgb="FF000000"/>
      <name val="Calibri"/>
      <family val="2"/>
      <charset val="204"/>
    </font>
    <font>
      <sz val="10"/>
      <name val="CYDutch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B050"/>
      <name val="Calibri"/>
      <family val="2"/>
      <charset val="204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9"/>
      <color theme="0"/>
      <name val="Calibri"/>
      <family val="2"/>
      <charset val="204"/>
      <scheme val="minor"/>
    </font>
    <font>
      <sz val="8"/>
      <color theme="1"/>
      <name val="Calibri"/>
      <family val="2"/>
      <charset val="204"/>
    </font>
    <font>
      <sz val="11"/>
      <color theme="1"/>
      <name val="Segoe UI"/>
      <family val="2"/>
      <charset val="204"/>
    </font>
    <font>
      <b/>
      <sz val="9"/>
      <color theme="0"/>
      <name val="Calibri"/>
      <family val="2"/>
      <charset val="204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0"/>
      <name val="Calibri"/>
      <family val="2"/>
    </font>
    <font>
      <sz val="9"/>
      <color theme="0"/>
      <name val="Calibri"/>
      <family val="2"/>
      <charset val="204"/>
      <scheme val="minor"/>
    </font>
    <font>
      <b/>
      <sz val="10"/>
      <color theme="0"/>
      <name val="Calibri"/>
      <family val="2"/>
    </font>
    <font>
      <sz val="9"/>
      <name val="Calibri"/>
      <family val="2"/>
    </font>
    <font>
      <b/>
      <sz val="9"/>
      <color rgb="FF000000"/>
      <name val="Calibri"/>
      <family val="2"/>
      <charset val="204"/>
    </font>
    <font>
      <b/>
      <sz val="10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b/>
      <sz val="9"/>
      <color rgb="FF800000"/>
      <name val="Calibri"/>
      <family val="2"/>
      <scheme val="minor"/>
    </font>
    <font>
      <b/>
      <sz val="9"/>
      <color rgb="FF632423"/>
      <name val="Calibri"/>
      <family val="2"/>
      <scheme val="minor"/>
    </font>
    <font>
      <b/>
      <sz val="9"/>
      <name val="Calibri"/>
      <family val="2"/>
    </font>
    <font>
      <b/>
      <sz val="9"/>
      <name val="Calibri"/>
      <family val="2"/>
      <scheme val="minor"/>
    </font>
    <font>
      <sz val="8"/>
      <color rgb="FF632423"/>
      <name val="Times New Roman"/>
      <family val="1"/>
      <charset val="204"/>
    </font>
    <font>
      <b/>
      <sz val="8"/>
      <name val="Calibri"/>
      <family val="2"/>
      <charset val="204"/>
      <scheme val="minor"/>
    </font>
    <font>
      <sz val="7"/>
      <color rgb="FFC00000"/>
      <name val="Calibri"/>
      <family val="2"/>
      <scheme val="minor"/>
    </font>
    <font>
      <sz val="9"/>
      <color rgb="FFC00000"/>
      <name val="Calibri"/>
      <family val="2"/>
      <charset val="204"/>
      <scheme val="minor"/>
    </font>
    <font>
      <b/>
      <sz val="9"/>
      <color theme="4" tint="-0.249977111117893"/>
      <name val="Calibri"/>
      <family val="2"/>
      <charset val="204"/>
      <scheme val="minor"/>
    </font>
    <font>
      <sz val="9"/>
      <color theme="4" tint="-0.249977111117893"/>
      <name val="Calibri"/>
      <family val="2"/>
      <charset val="204"/>
    </font>
    <font>
      <sz val="8"/>
      <color rgb="FFC00000"/>
      <name val="Calibri"/>
      <family val="2"/>
      <scheme val="minor"/>
    </font>
    <font>
      <sz val="8"/>
      <color rgb="FF800000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8"/>
      <name val="Calibri"/>
      <family val="2"/>
    </font>
    <font>
      <sz val="8"/>
      <name val="Calibri"/>
      <family val="2"/>
      <scheme val="minor"/>
    </font>
    <font>
      <sz val="9"/>
      <color theme="1" tint="0.34998626667073579"/>
      <name val="Calibri"/>
      <family val="2"/>
      <charset val="204"/>
      <scheme val="minor"/>
    </font>
    <font>
      <b/>
      <sz val="9"/>
      <color theme="1" tint="0.34998626667073579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u/>
      <sz val="10"/>
      <color theme="10"/>
      <name val="CYDutchR"/>
    </font>
    <font>
      <b/>
      <sz val="8"/>
      <color theme="1"/>
      <name val="Calibri"/>
      <family val="2"/>
      <charset val="204"/>
    </font>
    <font>
      <sz val="9"/>
      <color rgb="FFFF0000"/>
      <name val="Calibri"/>
      <family val="2"/>
      <charset val="204"/>
    </font>
    <font>
      <sz val="9"/>
      <color theme="5" tint="-0.249977111117893"/>
      <name val="Calibri"/>
      <family val="2"/>
      <charset val="204"/>
      <scheme val="minor"/>
    </font>
    <font>
      <strike/>
      <sz val="9"/>
      <name val="Calibri"/>
      <family val="2"/>
      <charset val="204"/>
      <scheme val="minor"/>
    </font>
    <font>
      <sz val="9"/>
      <color theme="0" tint="-0.499984740745262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5534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</fills>
  <borders count="184">
    <border>
      <left/>
      <right/>
      <top/>
      <bottom/>
      <diagonal/>
    </border>
    <border>
      <left style="dashed">
        <color theme="4" tint="-0.24994659260841701"/>
      </left>
      <right/>
      <top/>
      <bottom/>
      <diagonal/>
    </border>
    <border>
      <left/>
      <right style="dotted">
        <color rgb="FFA50021"/>
      </right>
      <top/>
      <bottom/>
      <diagonal/>
    </border>
    <border>
      <left/>
      <right style="dotted">
        <color rgb="FF800000"/>
      </right>
      <top/>
      <bottom/>
      <diagonal/>
    </border>
    <border>
      <left/>
      <right/>
      <top/>
      <bottom style="double">
        <color rgb="FF632423"/>
      </bottom>
      <diagonal/>
    </border>
    <border>
      <left/>
      <right/>
      <top/>
      <bottom style="thin">
        <color rgb="FF63242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rgb="FF632423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rgb="FF800000"/>
      </bottom>
      <diagonal/>
    </border>
    <border>
      <left/>
      <right style="dotted">
        <color rgb="FF808080"/>
      </right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 style="dotted">
        <color rgb="FF808080"/>
      </right>
      <top/>
      <bottom/>
      <diagonal/>
    </border>
    <border>
      <left/>
      <right style="dotted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tted">
        <color rgb="FF808080"/>
      </right>
      <top/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/>
      <right style="dotted">
        <color rgb="FF808080"/>
      </right>
      <top style="dotted">
        <color rgb="FF808080"/>
      </top>
      <bottom style="dotted">
        <color rgb="FF808080"/>
      </bottom>
      <diagonal/>
    </border>
    <border>
      <left style="dotted">
        <color rgb="FF808080"/>
      </left>
      <right/>
      <top style="dotted">
        <color rgb="FF808080"/>
      </top>
      <bottom style="dotted">
        <color rgb="FF808080"/>
      </bottom>
      <diagonal/>
    </border>
    <border>
      <left style="dotted">
        <color rgb="FF808080"/>
      </left>
      <right/>
      <top/>
      <bottom style="thin">
        <color rgb="FF808080"/>
      </bottom>
      <diagonal/>
    </border>
    <border>
      <left style="dotted">
        <color rgb="FF808080"/>
      </left>
      <right/>
      <top/>
      <bottom/>
      <diagonal/>
    </border>
    <border>
      <left/>
      <right/>
      <top style="thin">
        <color rgb="FF808080"/>
      </top>
      <bottom style="medium">
        <color rgb="FF808080"/>
      </bottom>
      <diagonal/>
    </border>
    <border>
      <left style="dotted">
        <color rgb="FF808080"/>
      </left>
      <right/>
      <top style="thin">
        <color rgb="FF808080"/>
      </top>
      <bottom style="medium">
        <color rgb="FF808080"/>
      </bottom>
      <diagonal/>
    </border>
    <border>
      <left/>
      <right style="dotted">
        <color rgb="FF808080"/>
      </right>
      <top style="thin">
        <color rgb="FF808080"/>
      </top>
      <bottom style="medium">
        <color rgb="FF808080"/>
      </bottom>
      <diagonal/>
    </border>
    <border>
      <left/>
      <right/>
      <top/>
      <bottom style="dotted">
        <color rgb="FF808080"/>
      </bottom>
      <diagonal/>
    </border>
    <border>
      <left/>
      <right style="dotted">
        <color rgb="FF808080"/>
      </right>
      <top/>
      <bottom style="dotted">
        <color rgb="FF808080"/>
      </bottom>
      <diagonal/>
    </border>
    <border>
      <left style="dotted">
        <color rgb="FF808080"/>
      </left>
      <right/>
      <top/>
      <bottom style="dotted">
        <color rgb="FF808080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 style="dotted">
        <color rgb="FF808080"/>
      </top>
      <bottom style="dotted">
        <color rgb="FF808080"/>
      </bottom>
      <diagonal/>
    </border>
    <border>
      <left style="dotted">
        <color rgb="FF808080"/>
      </left>
      <right style="dotted">
        <color rgb="FF808080"/>
      </right>
      <top style="dotted">
        <color rgb="FF808080"/>
      </top>
      <bottom/>
      <diagonal/>
    </border>
    <border>
      <left style="dotted">
        <color rgb="FF808080"/>
      </left>
      <right/>
      <top style="dotted">
        <color rgb="FF808080"/>
      </top>
      <bottom/>
      <diagonal/>
    </border>
    <border>
      <left style="dotted">
        <color rgb="FF808080"/>
      </left>
      <right style="dotted">
        <color rgb="FF808080"/>
      </right>
      <top/>
      <bottom style="thin">
        <color rgb="FF808080"/>
      </bottom>
      <diagonal/>
    </border>
    <border>
      <left style="dotted">
        <color rgb="FF808080"/>
      </left>
      <right/>
      <top/>
      <bottom style="medium">
        <color rgb="FF808080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theme="0" tint="-0.499984740745262"/>
      </bottom>
      <diagonal/>
    </border>
    <border>
      <left style="dotted">
        <color theme="0" tint="-0.499984740745262"/>
      </left>
      <right/>
      <top/>
      <bottom style="thin">
        <color theme="0" tint="-0.499984740745262"/>
      </bottom>
      <diagonal/>
    </border>
    <border>
      <left/>
      <right style="dotted">
        <color theme="0" tint="-0.499984740745262"/>
      </right>
      <top/>
      <bottom style="thin">
        <color theme="0" tint="-0.499984740745262"/>
      </bottom>
      <diagonal/>
    </border>
    <border>
      <left style="dotted">
        <color rgb="FF800000"/>
      </left>
      <right/>
      <top/>
      <bottom style="thin">
        <color theme="0" tint="-0.499984740745262"/>
      </bottom>
      <diagonal/>
    </border>
    <border>
      <left style="dotted">
        <color theme="0" tint="-0.499984740745262"/>
      </left>
      <right/>
      <top/>
      <bottom/>
      <diagonal/>
    </border>
    <border>
      <left/>
      <right style="dotted">
        <color theme="0" tint="-0.499984740745262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dotted">
        <color theme="1" tint="0.499984740745262"/>
      </right>
      <top/>
      <bottom style="thin">
        <color theme="1"/>
      </bottom>
      <diagonal/>
    </border>
    <border>
      <left/>
      <right style="dotted">
        <color theme="1" tint="0.499984740745262"/>
      </right>
      <top/>
      <bottom/>
      <diagonal/>
    </border>
    <border>
      <left/>
      <right style="dotted">
        <color theme="1" tint="0.499984740745262"/>
      </right>
      <top style="thin">
        <color theme="1"/>
      </top>
      <bottom/>
      <diagonal/>
    </border>
    <border>
      <left/>
      <right style="dotted">
        <color theme="1" tint="0.499984740745262"/>
      </right>
      <top/>
      <bottom style="thin">
        <color theme="1" tint="0.499984740745262"/>
      </bottom>
      <diagonal/>
    </border>
    <border>
      <left style="dotted">
        <color theme="1" tint="0.499984740745262"/>
      </left>
      <right/>
      <top/>
      <bottom style="dotted">
        <color theme="1" tint="0.499984740745262"/>
      </bottom>
      <diagonal/>
    </border>
    <border>
      <left/>
      <right/>
      <top/>
      <bottom style="dotted">
        <color theme="1" tint="0.499984740745262"/>
      </bottom>
      <diagonal/>
    </border>
    <border>
      <left/>
      <right style="dotted">
        <color theme="1" tint="0.499984740745262"/>
      </right>
      <top/>
      <bottom style="dotted">
        <color theme="1" tint="0.499984740745262"/>
      </bottom>
      <diagonal/>
    </border>
    <border>
      <left style="dotted">
        <color theme="1" tint="0.499984740745262"/>
      </left>
      <right/>
      <top/>
      <bottom style="thin">
        <color theme="1" tint="0.499984740745262"/>
      </bottom>
      <diagonal/>
    </border>
    <border>
      <left style="dotted">
        <color theme="1" tint="0.499984740745262"/>
      </left>
      <right/>
      <top/>
      <bottom/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dotted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dotted">
        <color theme="0" tint="-0.499984740745262"/>
      </left>
      <right/>
      <top/>
      <bottom style="dotted">
        <color theme="0" tint="-0.499984740745262"/>
      </bottom>
      <diagonal/>
    </border>
    <border>
      <left/>
      <right style="dotted">
        <color theme="0" tint="-0.499984740745262"/>
      </right>
      <top/>
      <bottom style="dotted">
        <color theme="0" tint="-0.499984740745262"/>
      </bottom>
      <diagonal/>
    </border>
    <border>
      <left/>
      <right style="dotted">
        <color rgb="FF800000"/>
      </right>
      <top/>
      <bottom style="thin">
        <color theme="0" tint="-0.499984740745262"/>
      </bottom>
      <diagonal/>
    </border>
    <border>
      <left/>
      <right style="dotted">
        <color rgb="FF800000"/>
      </right>
      <top style="thin">
        <color theme="0" tint="-0.499984740745262"/>
      </top>
      <bottom style="medium">
        <color theme="0" tint="-0.499984740745262"/>
      </bottom>
      <diagonal/>
    </border>
    <border>
      <left style="dotted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dotted">
        <color theme="0" tint="-0.499984740745262"/>
      </bottom>
      <diagonal/>
    </border>
    <border>
      <left style="dotted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dott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rgb="FF808080"/>
      </left>
      <right/>
      <top/>
      <bottom style="dotted">
        <color theme="0" tint="-0.499984740745262"/>
      </bottom>
      <diagonal/>
    </border>
    <border>
      <left/>
      <right style="dotted">
        <color rgb="FF808080"/>
      </right>
      <top/>
      <bottom style="dotted">
        <color theme="0" tint="-0.499984740745262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indexed="64"/>
      </left>
      <right/>
      <top style="thin">
        <color rgb="FF808080"/>
      </top>
      <bottom style="medium">
        <color rgb="FF808080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medium">
        <color theme="0" tint="-0.499984740745262"/>
      </top>
      <bottom/>
      <diagonal/>
    </border>
    <border>
      <left/>
      <right style="dotted">
        <color theme="0" tint="-0.499984740745262"/>
      </right>
      <top style="thin">
        <color theme="0" tint="-0.499984740745262"/>
      </top>
      <bottom/>
      <diagonal/>
    </border>
    <border>
      <left style="dotted">
        <color theme="0" tint="-0.499984740745262"/>
      </left>
      <right/>
      <top style="thin">
        <color theme="0" tint="-0.499984740745262"/>
      </top>
      <bottom style="dotted">
        <color theme="0" tint="-0.499984740745262"/>
      </bottom>
      <diagonal/>
    </border>
    <border>
      <left/>
      <right/>
      <top style="thin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thin">
        <color theme="0" tint="-0.499984740745262"/>
      </bottom>
      <diagonal/>
    </border>
    <border>
      <left/>
      <right/>
      <top style="dotted">
        <color theme="0" tint="-0.499984740745262"/>
      </top>
      <bottom style="thin">
        <color theme="0" tint="-0.499984740745262"/>
      </bottom>
      <diagonal/>
    </border>
    <border>
      <left style="dotted">
        <color theme="1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/>
      <bottom style="thin">
        <color auto="1"/>
      </bottom>
      <diagonal/>
    </border>
    <border>
      <left/>
      <right/>
      <top/>
      <bottom style="medium">
        <color theme="0" tint="-0.499984740745262"/>
      </bottom>
      <diagonal/>
    </border>
    <border>
      <left style="dotted">
        <color auto="1"/>
      </left>
      <right/>
      <top/>
      <bottom style="medium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/>
      <diagonal/>
    </border>
    <border>
      <left style="dotted">
        <color theme="0" tint="-0.499984740745262"/>
      </left>
      <right/>
      <top/>
      <bottom style="thin">
        <color auto="1"/>
      </bottom>
      <diagonal/>
    </border>
    <border>
      <left/>
      <right style="dotted">
        <color theme="0" tint="-0.499984740745262"/>
      </right>
      <top/>
      <bottom style="thin">
        <color auto="1"/>
      </bottom>
      <diagonal/>
    </border>
    <border>
      <left style="dotted">
        <color theme="0" tint="-0.499984740745262"/>
      </left>
      <right/>
      <top style="thin">
        <color auto="1"/>
      </top>
      <bottom/>
      <diagonal/>
    </border>
    <border>
      <left/>
      <right style="dotted">
        <color theme="0" tint="-0.499984740745262"/>
      </right>
      <top style="thin">
        <color auto="1"/>
      </top>
      <bottom/>
      <diagonal/>
    </border>
    <border>
      <left style="dotted">
        <color theme="0" tint="-0.499984740745262"/>
      </left>
      <right/>
      <top/>
      <bottom style="medium">
        <color theme="0" tint="-0.499984740745262"/>
      </bottom>
      <diagonal/>
    </border>
    <border>
      <left/>
      <right style="dotted">
        <color theme="0" tint="-0.499984740745262"/>
      </right>
      <top/>
      <bottom style="medium">
        <color theme="0" tint="-0.499984740745262"/>
      </bottom>
      <diagonal/>
    </border>
    <border>
      <left/>
      <right/>
      <top style="medium">
        <color rgb="FF808080"/>
      </top>
      <bottom/>
      <diagonal/>
    </border>
    <border>
      <left style="dotted">
        <color rgb="FF808080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rgb="FF808080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rgb="FF808080"/>
      </bottom>
      <diagonal/>
    </border>
    <border>
      <left style="dotted">
        <color rgb="FF808080"/>
      </left>
      <right/>
      <top style="hair">
        <color rgb="FF808080"/>
      </top>
      <bottom style="hair">
        <color rgb="FF808080"/>
      </bottom>
      <diagonal/>
    </border>
    <border>
      <left/>
      <right/>
      <top style="hair">
        <color rgb="FF808080"/>
      </top>
      <bottom style="thin">
        <color rgb="FF808080"/>
      </bottom>
      <diagonal/>
    </border>
    <border>
      <left/>
      <right style="hair">
        <color rgb="FF808080"/>
      </right>
      <top/>
      <bottom/>
      <diagonal/>
    </border>
    <border>
      <left/>
      <right style="hair">
        <color rgb="FF808080"/>
      </right>
      <top style="thin">
        <color rgb="FF808080"/>
      </top>
      <bottom style="medium">
        <color rgb="FF808080"/>
      </bottom>
      <diagonal/>
    </border>
    <border>
      <left style="dotted">
        <color theme="1" tint="0.499984740745262"/>
      </left>
      <right/>
      <top/>
      <bottom style="dotted">
        <color rgb="FF808080"/>
      </bottom>
      <diagonal/>
    </border>
    <border>
      <left/>
      <right style="dotted">
        <color theme="1" tint="0.499984740745262"/>
      </right>
      <top/>
      <bottom style="dotted">
        <color rgb="FF808080"/>
      </bottom>
      <diagonal/>
    </border>
    <border>
      <left style="dotted">
        <color theme="1" tint="0.499984740745262"/>
      </left>
      <right/>
      <top/>
      <bottom style="thin">
        <color rgb="FF808080"/>
      </bottom>
      <diagonal/>
    </border>
    <border>
      <left/>
      <right style="dotted">
        <color theme="1" tint="0.499984740745262"/>
      </right>
      <top/>
      <bottom style="thin">
        <color rgb="FF808080"/>
      </bottom>
      <diagonal/>
    </border>
    <border>
      <left style="dotted">
        <color theme="1" tint="0.499984740745262"/>
      </left>
      <right/>
      <top style="thin">
        <color rgb="FF808080"/>
      </top>
      <bottom style="medium">
        <color rgb="FF808080"/>
      </bottom>
      <diagonal/>
    </border>
    <border>
      <left/>
      <right style="dotted">
        <color theme="1" tint="0.499984740745262"/>
      </right>
      <top style="thin">
        <color rgb="FF808080"/>
      </top>
      <bottom style="medium">
        <color rgb="FF808080"/>
      </bottom>
      <diagonal/>
    </border>
    <border>
      <left/>
      <right style="dotted">
        <color rgb="FF808080"/>
      </right>
      <top style="dotted">
        <color rgb="FF808080"/>
      </top>
      <bottom style="thin">
        <color rgb="FF808080"/>
      </bottom>
      <diagonal/>
    </border>
    <border>
      <left/>
      <right style="dotted">
        <color theme="1" tint="0.499984740745262"/>
      </right>
      <top style="dotted">
        <color theme="1" tint="0.499984740745262"/>
      </top>
      <bottom style="thin">
        <color theme="1" tint="0.499984740745262"/>
      </bottom>
      <diagonal/>
    </border>
    <border>
      <left style="dotted">
        <color rgb="FF808080"/>
      </left>
      <right/>
      <top/>
      <bottom style="hair">
        <color rgb="FF808080"/>
      </bottom>
      <diagonal/>
    </border>
    <border>
      <left/>
      <right/>
      <top/>
      <bottom style="hair">
        <color rgb="FF808080"/>
      </bottom>
      <diagonal/>
    </border>
    <border>
      <left/>
      <right/>
      <top/>
      <bottom style="hair">
        <color theme="0" tint="-0.499984740745262"/>
      </bottom>
      <diagonal/>
    </border>
    <border>
      <left style="hair">
        <color rgb="FF808080"/>
      </left>
      <right style="hair">
        <color rgb="FF808080"/>
      </right>
      <top/>
      <bottom/>
      <diagonal/>
    </border>
    <border>
      <left style="hair">
        <color rgb="FF808080"/>
      </left>
      <right style="hair">
        <color rgb="FF808080"/>
      </right>
      <top/>
      <bottom style="dotted">
        <color theme="1" tint="0.499984740745262"/>
      </bottom>
      <diagonal/>
    </border>
    <border>
      <left style="hair">
        <color rgb="FF808080"/>
      </left>
      <right/>
      <top/>
      <bottom style="dotted">
        <color theme="1" tint="0.499984740745262"/>
      </bottom>
      <diagonal/>
    </border>
    <border>
      <left style="hair">
        <color rgb="FF808080"/>
      </left>
      <right/>
      <top/>
      <bottom/>
      <diagonal/>
    </border>
    <border>
      <left/>
      <right style="hair">
        <color rgb="FF808080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rgb="FF808080"/>
      </left>
      <right style="hair">
        <color rgb="FF808080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rgb="FF808080"/>
      </left>
      <right/>
      <top style="thin">
        <color theme="1" tint="0.499984740745262"/>
      </top>
      <bottom style="hair">
        <color theme="1" tint="0.499984740745262"/>
      </bottom>
      <diagonal/>
    </border>
    <border>
      <left/>
      <right style="hair">
        <color rgb="FF808080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rgb="FF808080"/>
      </left>
      <right style="hair">
        <color rgb="FF808080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rgb="FF808080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rgb="FF808080"/>
      </right>
      <top style="hair">
        <color theme="1" tint="0.499984740745262"/>
      </top>
      <bottom style="thin">
        <color rgb="FF808080"/>
      </bottom>
      <diagonal/>
    </border>
    <border>
      <left style="hair">
        <color rgb="FF808080"/>
      </left>
      <right style="hair">
        <color rgb="FF808080"/>
      </right>
      <top style="hair">
        <color theme="1" tint="0.499984740745262"/>
      </top>
      <bottom style="thin">
        <color rgb="FF808080"/>
      </bottom>
      <diagonal/>
    </border>
    <border>
      <left style="hair">
        <color rgb="FF808080"/>
      </left>
      <right/>
      <top style="hair">
        <color theme="1" tint="0.499984740745262"/>
      </top>
      <bottom style="thin">
        <color rgb="FF808080"/>
      </bottom>
      <diagonal/>
    </border>
    <border>
      <left style="hair">
        <color rgb="FF808080"/>
      </left>
      <right style="hair">
        <color rgb="FF808080"/>
      </right>
      <top style="thin">
        <color rgb="FF808080"/>
      </top>
      <bottom style="medium">
        <color rgb="FF808080"/>
      </bottom>
      <diagonal/>
    </border>
    <border>
      <left style="hair">
        <color rgb="FF808080"/>
      </left>
      <right/>
      <top style="thin">
        <color rgb="FF808080"/>
      </top>
      <bottom style="medium">
        <color rgb="FF808080"/>
      </bottom>
      <diagonal/>
    </border>
    <border>
      <left/>
      <right/>
      <top style="hair">
        <color rgb="FF808080"/>
      </top>
      <bottom style="hair">
        <color rgb="FF808080"/>
      </bottom>
      <diagonal/>
    </border>
    <border>
      <left/>
      <right style="dotted">
        <color rgb="FF808080"/>
      </right>
      <top style="hair">
        <color rgb="FF808080"/>
      </top>
      <bottom style="hair">
        <color rgb="FF808080"/>
      </bottom>
      <diagonal/>
    </border>
    <border>
      <left style="dotted">
        <color rgb="FF808080"/>
      </left>
      <right/>
      <top style="hair">
        <color rgb="FF808080"/>
      </top>
      <bottom style="thin">
        <color rgb="FF808080"/>
      </bottom>
      <diagonal/>
    </border>
    <border>
      <left/>
      <right style="dotted">
        <color rgb="FF808080"/>
      </right>
      <top style="hair">
        <color rgb="FF808080"/>
      </top>
      <bottom style="thin">
        <color rgb="FF808080"/>
      </bottom>
      <diagonal/>
    </border>
    <border>
      <left/>
      <right/>
      <top style="hair">
        <color rgb="FF808080"/>
      </top>
      <bottom/>
      <diagonal/>
    </border>
    <border>
      <left style="dotted">
        <color rgb="FF808080"/>
      </left>
      <right/>
      <top style="hair">
        <color rgb="FF808080"/>
      </top>
      <bottom/>
      <diagonal/>
    </border>
    <border>
      <left/>
      <right style="dotted">
        <color rgb="FF808080"/>
      </right>
      <top style="hair">
        <color rgb="FF808080"/>
      </top>
      <bottom/>
      <diagonal/>
    </border>
    <border>
      <left/>
      <right style="dotted">
        <color rgb="FF808080"/>
      </right>
      <top/>
      <bottom style="hair">
        <color rgb="FF808080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/>
      <diagonal/>
    </border>
    <border>
      <left/>
      <right/>
      <top style="dotted">
        <color theme="0" tint="-0.499984740745262"/>
      </top>
      <bottom/>
      <diagonal/>
    </border>
    <border>
      <left/>
      <right style="dotted">
        <color theme="0" tint="-0.499984740745262"/>
      </right>
      <top style="dotted">
        <color theme="0" tint="-0.499984740745262"/>
      </top>
      <bottom/>
      <diagonal/>
    </border>
    <border>
      <left/>
      <right style="dotted">
        <color theme="0" tint="-0.499984740745262"/>
      </right>
      <top style="thin">
        <color theme="1" tint="0.499984740745262"/>
      </top>
      <bottom/>
      <diagonal/>
    </border>
    <border>
      <left style="dotted">
        <color theme="0" tint="-0.499984740745262"/>
      </left>
      <right/>
      <top style="thin">
        <color theme="1" tint="0.499984740745262"/>
      </top>
      <bottom/>
      <diagonal/>
    </border>
    <border>
      <left/>
      <right style="dotted">
        <color theme="0" tint="-0.499984740745262"/>
      </right>
      <top/>
      <bottom style="thin">
        <color theme="1" tint="0.499984740745262"/>
      </bottom>
      <diagonal/>
    </border>
    <border>
      <left style="dotted">
        <color theme="0" tint="-0.499984740745262"/>
      </left>
      <right/>
      <top/>
      <bottom style="thin">
        <color theme="1" tint="0.499984740745262"/>
      </bottom>
      <diagonal/>
    </border>
    <border>
      <left style="dotted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hair">
        <color rgb="FF808080"/>
      </right>
      <top/>
      <bottom style="thin">
        <color rgb="FF808080"/>
      </bottom>
      <diagonal/>
    </border>
    <border>
      <left style="dotted">
        <color theme="1" tint="0.499984740745262"/>
      </left>
      <right/>
      <top/>
      <bottom style="medium">
        <color theme="0" tint="-0.499984740745262"/>
      </bottom>
      <diagonal/>
    </border>
    <border>
      <left/>
      <right style="dotted">
        <color theme="1" tint="0.499984740745262"/>
      </right>
      <top/>
      <bottom style="medium">
        <color theme="0" tint="-0.499984740745262"/>
      </bottom>
      <diagonal/>
    </border>
    <border>
      <left style="dotted">
        <color theme="1" tint="0.499984740745262"/>
      </left>
      <right/>
      <top/>
      <bottom style="thin">
        <color theme="0" tint="-0.499984740745262"/>
      </bottom>
      <diagonal/>
    </border>
    <border>
      <left/>
      <right style="dotted">
        <color theme="1" tint="0.499984740745262"/>
      </right>
      <top/>
      <bottom style="thin">
        <color theme="0" tint="-0.499984740745262"/>
      </bottom>
      <diagonal/>
    </border>
    <border>
      <left/>
      <right style="dotted">
        <color theme="1" tint="0.499984740745262"/>
      </right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 style="dotted">
        <color theme="1" tint="0.499984740745262"/>
      </left>
      <right/>
      <top style="thin">
        <color rgb="FF808080"/>
      </top>
      <bottom/>
      <diagonal/>
    </border>
    <border>
      <left/>
      <right style="dotted">
        <color theme="0" tint="-0.499984740745262"/>
      </right>
      <top/>
      <bottom style="thin">
        <color rgb="FF808080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dotted">
        <color theme="0" tint="-0.499984740745262"/>
      </left>
      <right/>
      <top/>
      <bottom style="thin">
        <color rgb="FF808080"/>
      </bottom>
      <diagonal/>
    </border>
    <border>
      <left style="dotted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/>
      <bottom/>
      <diagonal/>
    </border>
    <border>
      <left style="dotted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 style="thin">
        <color rgb="FF808080"/>
      </top>
      <bottom style="hair">
        <color rgb="FF808080"/>
      </bottom>
      <diagonal/>
    </border>
    <border>
      <left/>
      <right style="dotted">
        <color rgb="FF808080"/>
      </right>
      <top style="thin">
        <color rgb="FF808080"/>
      </top>
      <bottom style="hair">
        <color rgb="FF808080"/>
      </bottom>
      <diagonal/>
    </border>
    <border>
      <left/>
      <right style="dotted">
        <color rgb="FF808080"/>
      </right>
      <top style="thin">
        <color rgb="FF808080"/>
      </top>
      <bottom style="medium">
        <color theme="0" tint="-0.499984740745262"/>
      </bottom>
      <diagonal/>
    </border>
    <border>
      <left/>
      <right style="dotted">
        <color rgb="FF808080"/>
      </right>
      <top/>
      <bottom style="hair">
        <color theme="0" tint="-0.499984740745262"/>
      </bottom>
      <diagonal/>
    </border>
    <border>
      <left/>
      <right style="dotted">
        <color rgb="FF808080"/>
      </right>
      <top style="thin">
        <color theme="0" tint="-0.499984740745262"/>
      </top>
      <bottom style="medium">
        <color theme="0" tint="-0.499984740745262"/>
      </bottom>
      <diagonal/>
    </border>
    <border>
      <left style="dotted">
        <color theme="1" tint="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otted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rgb="FF808080"/>
      </right>
      <top style="dotted">
        <color rgb="FF808080"/>
      </top>
      <bottom style="dotted">
        <color rgb="FF808080"/>
      </bottom>
      <diagonal/>
    </border>
  </borders>
  <cellStyleXfs count="39">
    <xf numFmtId="0" fontId="0" fillId="0" borderId="0"/>
    <xf numFmtId="0" fontId="1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0" fontId="23" fillId="0" borderId="0"/>
    <xf numFmtId="0" fontId="1" fillId="0" borderId="0" applyNumberFormat="0" applyFill="0" applyBorder="0" applyAlignment="0" applyProtection="0"/>
    <xf numFmtId="0" fontId="8" fillId="0" borderId="0"/>
    <xf numFmtId="0" fontId="8" fillId="0" borderId="0"/>
    <xf numFmtId="0" fontId="6" fillId="0" borderId="0"/>
    <xf numFmtId="0" fontId="6" fillId="0" borderId="0"/>
    <xf numFmtId="0" fontId="30" fillId="0" borderId="0"/>
    <xf numFmtId="0" fontId="23" fillId="0" borderId="0"/>
    <xf numFmtId="0" fontId="8" fillId="0" borderId="0"/>
    <xf numFmtId="0" fontId="34" fillId="0" borderId="0"/>
    <xf numFmtId="0" fontId="35" fillId="0" borderId="0"/>
    <xf numFmtId="0" fontId="6" fillId="0" borderId="0"/>
    <xf numFmtId="9" fontId="6" fillId="0" borderId="0" applyFont="0" applyFill="0" applyBorder="0" applyAlignment="0" applyProtection="0"/>
    <xf numFmtId="0" fontId="34" fillId="0" borderId="0"/>
    <xf numFmtId="0" fontId="42" fillId="0" borderId="0"/>
    <xf numFmtId="0" fontId="8" fillId="0" borderId="0"/>
    <xf numFmtId="0" fontId="43" fillId="0" borderId="0" applyBorder="0"/>
    <xf numFmtId="0" fontId="44" fillId="0" borderId="0"/>
    <xf numFmtId="0" fontId="44" fillId="0" borderId="0"/>
    <xf numFmtId="0" fontId="35" fillId="0" borderId="0"/>
    <xf numFmtId="0" fontId="45" fillId="0" borderId="0"/>
    <xf numFmtId="0" fontId="6" fillId="0" borderId="0"/>
    <xf numFmtId="0" fontId="23" fillId="0" borderId="0"/>
    <xf numFmtId="0" fontId="6" fillId="0" borderId="0"/>
    <xf numFmtId="9" fontId="6" fillId="0" borderId="0" applyFont="0" applyFill="0" applyBorder="0" applyAlignment="0" applyProtection="0"/>
    <xf numFmtId="0" fontId="80" fillId="0" borderId="0" applyNumberForma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79" fillId="10" borderId="0"/>
    <xf numFmtId="0" fontId="6" fillId="0" borderId="0"/>
    <xf numFmtId="0" fontId="35" fillId="0" borderId="0">
      <alignment vertical="center"/>
    </xf>
    <xf numFmtId="0" fontId="35" fillId="0" borderId="0">
      <alignment vertical="center"/>
    </xf>
  </cellStyleXfs>
  <cellXfs count="870">
    <xf numFmtId="0" fontId="0" fillId="0" borderId="0" xfId="0"/>
    <xf numFmtId="0" fontId="1" fillId="0" borderId="0" xfId="1" applyAlignment="1">
      <alignment vertical="center"/>
    </xf>
    <xf numFmtId="0" fontId="4" fillId="0" borderId="0" xfId="0" applyFont="1"/>
    <xf numFmtId="0" fontId="2" fillId="0" borderId="0" xfId="0" applyFont="1"/>
    <xf numFmtId="0" fontId="7" fillId="0" borderId="0" xfId="0" applyFont="1"/>
    <xf numFmtId="3" fontId="9" fillId="5" borderId="0" xfId="0" applyNumberFormat="1" applyFont="1" applyFill="1" applyAlignment="1">
      <alignment horizontal="right" vertical="center" wrapText="1"/>
    </xf>
    <xf numFmtId="0" fontId="10" fillId="5" borderId="0" xfId="0" applyFont="1" applyFill="1" applyAlignment="1">
      <alignment vertical="center" wrapText="1"/>
    </xf>
    <xf numFmtId="164" fontId="9" fillId="5" borderId="0" xfId="0" applyNumberFormat="1" applyFont="1" applyFill="1" applyAlignment="1">
      <alignment horizontal="right" vertical="center" wrapText="1"/>
    </xf>
    <xf numFmtId="0" fontId="19" fillId="0" borderId="0" xfId="0" applyFont="1"/>
    <xf numFmtId="0" fontId="20" fillId="0" borderId="0" xfId="0" applyFont="1"/>
    <xf numFmtId="49" fontId="9" fillId="5" borderId="0" xfId="0" applyNumberFormat="1" applyFont="1" applyFill="1" applyAlignment="1">
      <alignment vertical="center" wrapText="1"/>
    </xf>
    <xf numFmtId="0" fontId="12" fillId="0" borderId="0" xfId="0" applyFont="1"/>
    <xf numFmtId="0" fontId="24" fillId="0" borderId="0" xfId="7" applyFont="1" applyAlignment="1">
      <alignment horizontal="center"/>
    </xf>
    <xf numFmtId="0" fontId="25" fillId="0" borderId="0" xfId="7" applyFont="1" applyAlignment="1">
      <alignment horizontal="left" wrapText="1"/>
    </xf>
    <xf numFmtId="0" fontId="26" fillId="0" borderId="0" xfId="7" applyFont="1" applyAlignment="1">
      <alignment horizontal="right" vertical="center"/>
    </xf>
    <xf numFmtId="22" fontId="23" fillId="0" borderId="0" xfId="7" applyNumberFormat="1"/>
    <xf numFmtId="0" fontId="12" fillId="5" borderId="0" xfId="0" applyFont="1" applyFill="1"/>
    <xf numFmtId="0" fontId="16" fillId="0" borderId="0" xfId="0" applyFont="1"/>
    <xf numFmtId="0" fontId="5" fillId="0" borderId="0" xfId="0" applyFont="1" applyAlignment="1">
      <alignment vertical="center" wrapText="1"/>
    </xf>
    <xf numFmtId="0" fontId="29" fillId="0" borderId="0" xfId="0" applyFont="1"/>
    <xf numFmtId="3" fontId="9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49" fontId="0" fillId="0" borderId="0" xfId="0" applyNumberFormat="1"/>
    <xf numFmtId="0" fontId="26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23" fillId="0" borderId="0" xfId="7"/>
    <xf numFmtId="14" fontId="23" fillId="0" borderId="0" xfId="7" applyNumberFormat="1"/>
    <xf numFmtId="0" fontId="38" fillId="0" borderId="0" xfId="1" applyFont="1" applyAlignment="1">
      <alignment vertical="center"/>
    </xf>
    <xf numFmtId="14" fontId="36" fillId="0" borderId="0" xfId="7" applyNumberFormat="1" applyFont="1"/>
    <xf numFmtId="14" fontId="40" fillId="0" borderId="0" xfId="7" applyNumberFormat="1" applyFont="1"/>
    <xf numFmtId="0" fontId="0" fillId="0" borderId="0" xfId="0" applyAlignment="1">
      <alignment wrapText="1"/>
    </xf>
    <xf numFmtId="0" fontId="23" fillId="0" borderId="0" xfId="7" applyAlignment="1">
      <alignment horizontal="right" vertical="center"/>
    </xf>
    <xf numFmtId="0" fontId="37" fillId="0" borderId="0" xfId="0" applyFont="1"/>
    <xf numFmtId="0" fontId="26" fillId="0" borderId="7" xfId="0" applyFont="1" applyBorder="1" applyAlignment="1">
      <alignment vertical="center"/>
    </xf>
    <xf numFmtId="0" fontId="36" fillId="0" borderId="0" xfId="7" applyFont="1"/>
    <xf numFmtId="0" fontId="23" fillId="0" borderId="0" xfId="7" applyAlignment="1">
      <alignment horizontal="center" vertical="center"/>
    </xf>
    <xf numFmtId="3" fontId="23" fillId="0" borderId="0" xfId="7" applyNumberFormat="1"/>
    <xf numFmtId="0" fontId="27" fillId="0" borderId="6" xfId="7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8" fillId="0" borderId="9" xfId="0" applyFont="1" applyBorder="1" applyAlignment="1">
      <alignment horizontal="center" vertical="center" wrapText="1"/>
    </xf>
    <xf numFmtId="0" fontId="1" fillId="0" borderId="0" xfId="1" applyFill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46" fillId="7" borderId="0" xfId="0" applyFont="1" applyFill="1" applyAlignment="1">
      <alignment vertical="center"/>
    </xf>
    <xf numFmtId="0" fontId="31" fillId="7" borderId="0" xfId="0" applyFont="1" applyFill="1"/>
    <xf numFmtId="3" fontId="9" fillId="5" borderId="0" xfId="0" applyNumberFormat="1" applyFont="1" applyFill="1" applyAlignment="1">
      <alignment horizontal="right" vertical="center" wrapText="1" indent="1"/>
    </xf>
    <xf numFmtId="0" fontId="46" fillId="7" borderId="0" xfId="0" applyFont="1" applyFill="1" applyAlignment="1">
      <alignment horizontal="right" vertical="center"/>
    </xf>
    <xf numFmtId="0" fontId="48" fillId="0" borderId="0" xfId="0" applyFont="1" applyAlignment="1">
      <alignment horizontal="left" vertical="center" indent="1"/>
    </xf>
    <xf numFmtId="0" fontId="14" fillId="5" borderId="19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vertical="center" wrapText="1"/>
    </xf>
    <xf numFmtId="164" fontId="12" fillId="5" borderId="20" xfId="0" applyNumberFormat="1" applyFont="1" applyFill="1" applyBorder="1" applyAlignment="1">
      <alignment horizontal="right" vertical="center" wrapText="1" indent="1"/>
    </xf>
    <xf numFmtId="164" fontId="12" fillId="5" borderId="0" xfId="0" applyNumberFormat="1" applyFont="1" applyFill="1" applyAlignment="1">
      <alignment horizontal="right" vertical="center" wrapText="1" indent="1"/>
    </xf>
    <xf numFmtId="0" fontId="12" fillId="5" borderId="12" xfId="0" applyFont="1" applyFill="1" applyBorder="1" applyAlignment="1">
      <alignment horizontal="right" vertical="center" wrapText="1" indent="1"/>
    </xf>
    <xf numFmtId="0" fontId="12" fillId="5" borderId="0" xfId="0" applyFont="1" applyFill="1" applyAlignment="1">
      <alignment horizontal="right" vertical="center" wrapText="1" indent="1"/>
    </xf>
    <xf numFmtId="0" fontId="9" fillId="5" borderId="16" xfId="0" applyFont="1" applyFill="1" applyBorder="1" applyAlignment="1">
      <alignment vertical="center" wrapText="1"/>
    </xf>
    <xf numFmtId="164" fontId="12" fillId="5" borderId="33" xfId="0" applyNumberFormat="1" applyFont="1" applyFill="1" applyBorder="1" applyAlignment="1">
      <alignment horizontal="right" vertical="center" wrapText="1" indent="1"/>
    </xf>
    <xf numFmtId="164" fontId="12" fillId="5" borderId="16" xfId="0" applyNumberFormat="1" applyFont="1" applyFill="1" applyBorder="1" applyAlignment="1">
      <alignment horizontal="right" vertical="center" wrapText="1" indent="1"/>
    </xf>
    <xf numFmtId="0" fontId="12" fillId="5" borderId="15" xfId="0" applyFont="1" applyFill="1" applyBorder="1" applyAlignment="1">
      <alignment horizontal="right" vertical="center" wrapText="1" indent="1"/>
    </xf>
    <xf numFmtId="0" fontId="12" fillId="5" borderId="16" xfId="0" applyFont="1" applyFill="1" applyBorder="1" applyAlignment="1">
      <alignment horizontal="right" vertical="center" wrapText="1" indent="1"/>
    </xf>
    <xf numFmtId="0" fontId="10" fillId="5" borderId="11" xfId="0" applyFont="1" applyFill="1" applyBorder="1" applyAlignment="1">
      <alignment horizontal="center" vertical="center" wrapText="1"/>
    </xf>
    <xf numFmtId="0" fontId="29" fillId="8" borderId="0" xfId="0" applyFont="1" applyFill="1" applyAlignment="1">
      <alignment vertical="center"/>
    </xf>
    <xf numFmtId="0" fontId="49" fillId="7" borderId="0" xfId="0" applyFont="1" applyFill="1" applyAlignment="1">
      <alignment horizontal="right" vertical="center" wrapText="1"/>
    </xf>
    <xf numFmtId="0" fontId="50" fillId="5" borderId="0" xfId="0" applyFont="1" applyFill="1" applyAlignment="1">
      <alignment horizontal="center" vertical="center" wrapText="1"/>
    </xf>
    <xf numFmtId="3" fontId="9" fillId="5" borderId="34" xfId="0" applyNumberFormat="1" applyFont="1" applyFill="1" applyBorder="1" applyAlignment="1">
      <alignment horizontal="right" vertical="center" wrapText="1" indent="1"/>
    </xf>
    <xf numFmtId="164" fontId="9" fillId="5" borderId="34" xfId="0" applyNumberFormat="1" applyFont="1" applyFill="1" applyBorder="1" applyAlignment="1">
      <alignment horizontal="right" vertical="center" wrapText="1" indent="1"/>
    </xf>
    <xf numFmtId="164" fontId="9" fillId="5" borderId="0" xfId="0" applyNumberFormat="1" applyFont="1" applyFill="1" applyAlignment="1">
      <alignment horizontal="right" vertical="center" wrapText="1" indent="1"/>
    </xf>
    <xf numFmtId="3" fontId="9" fillId="5" borderId="35" xfId="0" applyNumberFormat="1" applyFont="1" applyFill="1" applyBorder="1" applyAlignment="1">
      <alignment horizontal="right" vertical="center" wrapText="1" indent="1"/>
    </xf>
    <xf numFmtId="164" fontId="9" fillId="5" borderId="35" xfId="0" applyNumberFormat="1" applyFont="1" applyFill="1" applyBorder="1" applyAlignment="1">
      <alignment horizontal="right" vertical="center" wrapText="1" indent="1"/>
    </xf>
    <xf numFmtId="0" fontId="10" fillId="5" borderId="36" xfId="0" applyFont="1" applyFill="1" applyBorder="1" applyAlignment="1">
      <alignment horizontal="center" vertical="center" wrapText="1"/>
    </xf>
    <xf numFmtId="0" fontId="9" fillId="5" borderId="37" xfId="0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 wrapText="1"/>
    </xf>
    <xf numFmtId="164" fontId="9" fillId="5" borderId="40" xfId="0" applyNumberFormat="1" applyFont="1" applyFill="1" applyBorder="1" applyAlignment="1">
      <alignment horizontal="right" vertical="center" wrapText="1"/>
    </xf>
    <xf numFmtId="0" fontId="10" fillId="5" borderId="45" xfId="0" applyFont="1" applyFill="1" applyBorder="1" applyAlignment="1">
      <alignment vertical="center" wrapText="1"/>
    </xf>
    <xf numFmtId="0" fontId="51" fillId="7" borderId="0" xfId="0" applyFont="1" applyFill="1" applyAlignment="1">
      <alignment vertical="center"/>
    </xf>
    <xf numFmtId="0" fontId="50" fillId="5" borderId="49" xfId="0" applyFont="1" applyFill="1" applyBorder="1" applyAlignment="1">
      <alignment horizontal="center" vertical="center" wrapText="1"/>
    </xf>
    <xf numFmtId="0" fontId="53" fillId="7" borderId="0" xfId="0" applyFont="1" applyFill="1" applyAlignment="1">
      <alignment horizontal="left"/>
    </xf>
    <xf numFmtId="0" fontId="14" fillId="5" borderId="10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vertical="center" wrapText="1"/>
    </xf>
    <xf numFmtId="164" fontId="10" fillId="5" borderId="22" xfId="0" applyNumberFormat="1" applyFont="1" applyFill="1" applyBorder="1" applyAlignment="1">
      <alignment horizontal="right" vertical="center" wrapText="1" indent="1"/>
    </xf>
    <xf numFmtId="3" fontId="10" fillId="5" borderId="21" xfId="0" applyNumberFormat="1" applyFont="1" applyFill="1" applyBorder="1" applyAlignment="1">
      <alignment horizontal="right" vertical="center" wrapText="1" indent="1"/>
    </xf>
    <xf numFmtId="0" fontId="51" fillId="8" borderId="0" xfId="0" applyFont="1" applyFill="1" applyAlignment="1">
      <alignment vertical="center"/>
    </xf>
    <xf numFmtId="0" fontId="54" fillId="8" borderId="0" xfId="0" applyFont="1" applyFill="1" applyAlignment="1">
      <alignment vertical="center" wrapText="1"/>
    </xf>
    <xf numFmtId="0" fontId="9" fillId="5" borderId="61" xfId="0" applyFont="1" applyFill="1" applyBorder="1" applyAlignment="1">
      <alignment horizontal="center" vertical="center" wrapText="1"/>
    </xf>
    <xf numFmtId="164" fontId="10" fillId="5" borderId="46" xfId="0" applyNumberFormat="1" applyFont="1" applyFill="1" applyBorder="1" applyAlignment="1">
      <alignment vertical="center" wrapText="1"/>
    </xf>
    <xf numFmtId="0" fontId="28" fillId="0" borderId="0" xfId="0" applyFont="1" applyAlignment="1">
      <alignment vertical="center"/>
    </xf>
    <xf numFmtId="0" fontId="53" fillId="7" borderId="0" xfId="0" applyFont="1" applyFill="1"/>
    <xf numFmtId="0" fontId="9" fillId="5" borderId="0" xfId="0" applyFont="1" applyFill="1" applyAlignment="1">
      <alignment horizontal="left" vertical="center" wrapText="1" indent="1"/>
    </xf>
    <xf numFmtId="165" fontId="9" fillId="3" borderId="12" xfId="0" applyNumberFormat="1" applyFont="1" applyFill="1" applyBorder="1" applyAlignment="1">
      <alignment horizontal="right" vertical="center" wrapText="1" indent="1"/>
    </xf>
    <xf numFmtId="0" fontId="10" fillId="5" borderId="11" xfId="0" applyFont="1" applyFill="1" applyBorder="1" applyAlignment="1">
      <alignment vertical="center" wrapText="1"/>
    </xf>
    <xf numFmtId="164" fontId="10" fillId="5" borderId="19" xfId="0" applyNumberFormat="1" applyFont="1" applyFill="1" applyBorder="1" applyAlignment="1">
      <alignment horizontal="right" vertical="center" wrapText="1" indent="1"/>
    </xf>
    <xf numFmtId="165" fontId="10" fillId="3" borderId="10" xfId="0" applyNumberFormat="1" applyFont="1" applyFill="1" applyBorder="1" applyAlignment="1">
      <alignment horizontal="right" vertical="center" wrapText="1" indent="1"/>
    </xf>
    <xf numFmtId="164" fontId="10" fillId="5" borderId="20" xfId="0" applyNumberFormat="1" applyFont="1" applyFill="1" applyBorder="1" applyAlignment="1">
      <alignment horizontal="right" vertical="center" wrapText="1" indent="1"/>
    </xf>
    <xf numFmtId="3" fontId="10" fillId="5" borderId="0" xfId="0" applyNumberFormat="1" applyFont="1" applyFill="1" applyAlignment="1">
      <alignment horizontal="right" vertical="center" wrapText="1" indent="1"/>
    </xf>
    <xf numFmtId="1" fontId="10" fillId="3" borderId="23" xfId="0" applyNumberFormat="1" applyFont="1" applyFill="1" applyBorder="1" applyAlignment="1">
      <alignment horizontal="right" vertical="center" wrapText="1" indent="1"/>
    </xf>
    <xf numFmtId="1" fontId="10" fillId="5" borderId="21" xfId="0" applyNumberFormat="1" applyFont="1" applyFill="1" applyBorder="1" applyAlignment="1">
      <alignment horizontal="right" vertical="center" wrapText="1" indent="1"/>
    </xf>
    <xf numFmtId="0" fontId="5" fillId="0" borderId="0" xfId="0" applyFont="1" applyAlignment="1">
      <alignment horizontal="right" vertical="center" wrapText="1"/>
    </xf>
    <xf numFmtId="0" fontId="10" fillId="5" borderId="24" xfId="0" applyFont="1" applyFill="1" applyBorder="1" applyAlignment="1">
      <alignment horizontal="center" vertical="center" wrapText="1"/>
    </xf>
    <xf numFmtId="49" fontId="10" fillId="5" borderId="26" xfId="0" applyNumberFormat="1" applyFont="1" applyFill="1" applyBorder="1" applyAlignment="1">
      <alignment horizontal="right" vertical="center" wrapText="1" indent="1"/>
    </xf>
    <xf numFmtId="49" fontId="10" fillId="5" borderId="24" xfId="0" applyNumberFormat="1" applyFont="1" applyFill="1" applyBorder="1" applyAlignment="1">
      <alignment horizontal="right" vertical="center" wrapText="1" indent="1"/>
    </xf>
    <xf numFmtId="164" fontId="9" fillId="5" borderId="20" xfId="0" applyNumberFormat="1" applyFont="1" applyFill="1" applyBorder="1" applyAlignment="1">
      <alignment horizontal="right" vertical="center" wrapText="1" indent="1"/>
    </xf>
    <xf numFmtId="3" fontId="9" fillId="5" borderId="20" xfId="0" applyNumberFormat="1" applyFont="1" applyFill="1" applyBorder="1" applyAlignment="1">
      <alignment horizontal="right" vertical="center" wrapText="1" indent="1"/>
    </xf>
    <xf numFmtId="0" fontId="10" fillId="5" borderId="14" xfId="0" applyFont="1" applyFill="1" applyBorder="1" applyAlignment="1">
      <alignment vertical="center" wrapText="1"/>
    </xf>
    <xf numFmtId="165" fontId="10" fillId="5" borderId="63" xfId="2" applyNumberFormat="1" applyFont="1" applyFill="1" applyBorder="1" applyAlignment="1">
      <alignment horizontal="right" vertical="center" wrapText="1" indent="1"/>
    </xf>
    <xf numFmtId="3" fontId="10" fillId="5" borderId="63" xfId="0" applyNumberFormat="1" applyFont="1" applyFill="1" applyBorder="1" applyAlignment="1">
      <alignment horizontal="right" vertical="center" wrapText="1" indent="1"/>
    </xf>
    <xf numFmtId="165" fontId="10" fillId="5" borderId="22" xfId="2" applyNumberFormat="1" applyFont="1" applyFill="1" applyBorder="1" applyAlignment="1">
      <alignment horizontal="right" vertical="center" wrapText="1" indent="1"/>
    </xf>
    <xf numFmtId="1" fontId="10" fillId="5" borderId="22" xfId="0" applyNumberFormat="1" applyFont="1" applyFill="1" applyBorder="1" applyAlignment="1">
      <alignment horizontal="right" vertical="center" wrapText="1" indent="1"/>
    </xf>
    <xf numFmtId="0" fontId="55" fillId="5" borderId="37" xfId="0" applyFont="1" applyFill="1" applyBorder="1" applyAlignment="1">
      <alignment horizontal="center" vertical="center" wrapText="1"/>
    </xf>
    <xf numFmtId="0" fontId="55" fillId="5" borderId="36" xfId="0" applyFont="1" applyFill="1" applyBorder="1" applyAlignment="1">
      <alignment horizontal="center" vertical="center" wrapText="1"/>
    </xf>
    <xf numFmtId="0" fontId="55" fillId="5" borderId="38" xfId="0" applyFont="1" applyFill="1" applyBorder="1" applyAlignment="1">
      <alignment horizontal="center" vertical="center" wrapText="1"/>
    </xf>
    <xf numFmtId="164" fontId="9" fillId="5" borderId="40" xfId="0" applyNumberFormat="1" applyFont="1" applyFill="1" applyBorder="1" applyAlignment="1">
      <alignment horizontal="right" vertical="center" wrapText="1" indent="1"/>
    </xf>
    <xf numFmtId="164" fontId="10" fillId="5" borderId="0" xfId="0" applyNumberFormat="1" applyFont="1" applyFill="1" applyAlignment="1">
      <alignment horizontal="right" vertical="center" wrapText="1" indent="1"/>
    </xf>
    <xf numFmtId="0" fontId="10" fillId="5" borderId="57" xfId="0" applyFont="1" applyFill="1" applyBorder="1" applyAlignment="1">
      <alignment vertical="center" wrapText="1"/>
    </xf>
    <xf numFmtId="49" fontId="10" fillId="5" borderId="49" xfId="0" applyNumberFormat="1" applyFont="1" applyFill="1" applyBorder="1" applyAlignment="1">
      <alignment horizontal="center" vertical="center" wrapText="1"/>
    </xf>
    <xf numFmtId="0" fontId="37" fillId="0" borderId="0" xfId="7" applyFont="1"/>
    <xf numFmtId="0" fontId="39" fillId="0" borderId="0" xfId="7" applyFont="1"/>
    <xf numFmtId="0" fontId="46" fillId="7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9" fillId="0" borderId="0" xfId="0" applyFont="1"/>
    <xf numFmtId="0" fontId="52" fillId="8" borderId="0" xfId="0" applyFont="1" applyFill="1" applyAlignment="1">
      <alignment vertical="center" wrapText="1"/>
    </xf>
    <xf numFmtId="49" fontId="14" fillId="5" borderId="72" xfId="0" applyNumberFormat="1" applyFont="1" applyFill="1" applyBorder="1" applyAlignment="1">
      <alignment horizontal="center" vertical="center" wrapText="1"/>
    </xf>
    <xf numFmtId="49" fontId="14" fillId="5" borderId="73" xfId="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vertical="center" wrapText="1"/>
    </xf>
    <xf numFmtId="164" fontId="14" fillId="5" borderId="0" xfId="0" applyNumberFormat="1" applyFont="1" applyFill="1" applyAlignment="1">
      <alignment horizontal="right" vertical="center" wrapText="1" indent="1"/>
    </xf>
    <xf numFmtId="164" fontId="17" fillId="5" borderId="21" xfId="0" applyNumberFormat="1" applyFont="1" applyFill="1" applyBorder="1" applyAlignment="1">
      <alignment horizontal="right" vertical="center" wrapText="1" indent="1"/>
    </xf>
    <xf numFmtId="49" fontId="17" fillId="5" borderId="71" xfId="0" applyNumberFormat="1" applyFont="1" applyFill="1" applyBorder="1" applyAlignment="1">
      <alignment horizontal="center" vertical="center" wrapText="1"/>
    </xf>
    <xf numFmtId="49" fontId="17" fillId="5" borderId="72" xfId="0" applyNumberFormat="1" applyFont="1" applyFill="1" applyBorder="1" applyAlignment="1">
      <alignment horizontal="center" vertical="center" wrapText="1"/>
    </xf>
    <xf numFmtId="0" fontId="22" fillId="0" borderId="0" xfId="0" applyFont="1"/>
    <xf numFmtId="0" fontId="59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164" fontId="9" fillId="5" borderId="49" xfId="0" applyNumberFormat="1" applyFont="1" applyFill="1" applyBorder="1" applyAlignment="1">
      <alignment horizontal="right" vertical="center" wrapText="1"/>
    </xf>
    <xf numFmtId="0" fontId="55" fillId="5" borderId="0" xfId="0" applyFont="1" applyFill="1" applyAlignment="1">
      <alignment vertical="center" wrapText="1"/>
    </xf>
    <xf numFmtId="0" fontId="61" fillId="5" borderId="0" xfId="0" applyFont="1" applyFill="1" applyAlignment="1">
      <alignment vertical="center" wrapText="1"/>
    </xf>
    <xf numFmtId="164" fontId="9" fillId="5" borderId="0" xfId="2" applyNumberFormat="1" applyFont="1" applyFill="1" applyBorder="1" applyAlignment="1">
      <alignment horizontal="right" vertical="center" wrapText="1"/>
    </xf>
    <xf numFmtId="0" fontId="55" fillId="5" borderId="27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55" fillId="5" borderId="51" xfId="0" applyFont="1" applyFill="1" applyBorder="1" applyAlignment="1">
      <alignment horizontal="center" vertical="center" wrapText="1"/>
    </xf>
    <xf numFmtId="3" fontId="9" fillId="5" borderId="49" xfId="0" applyNumberFormat="1" applyFont="1" applyFill="1" applyBorder="1" applyAlignment="1">
      <alignment horizontal="right" vertical="center" wrapText="1"/>
    </xf>
    <xf numFmtId="0" fontId="9" fillId="5" borderId="12" xfId="0" applyFont="1" applyFill="1" applyBorder="1" applyAlignment="1">
      <alignment vertical="center" wrapText="1"/>
    </xf>
    <xf numFmtId="164" fontId="9" fillId="5" borderId="20" xfId="0" applyNumberFormat="1" applyFont="1" applyFill="1" applyBorder="1" applyAlignment="1">
      <alignment horizontal="right" vertical="center" wrapText="1"/>
    </xf>
    <xf numFmtId="164" fontId="9" fillId="5" borderId="12" xfId="0" applyNumberFormat="1" applyFont="1" applyFill="1" applyBorder="1" applyAlignment="1">
      <alignment horizontal="right" vertical="center" wrapText="1"/>
    </xf>
    <xf numFmtId="164" fontId="9" fillId="5" borderId="20" xfId="0" applyNumberFormat="1" applyFont="1" applyFill="1" applyBorder="1" applyAlignment="1">
      <alignment horizontal="right" vertical="top" wrapText="1"/>
    </xf>
    <xf numFmtId="164" fontId="9" fillId="5" borderId="12" xfId="0" applyNumberFormat="1" applyFont="1" applyFill="1" applyBorder="1" applyAlignment="1">
      <alignment horizontal="right" vertical="top" wrapText="1"/>
    </xf>
    <xf numFmtId="0" fontId="10" fillId="5" borderId="23" xfId="0" applyFont="1" applyFill="1" applyBorder="1" applyAlignment="1">
      <alignment vertical="center" wrapText="1"/>
    </xf>
    <xf numFmtId="164" fontId="10" fillId="5" borderId="22" xfId="2" applyNumberFormat="1" applyFont="1" applyFill="1" applyBorder="1" applyAlignment="1">
      <alignment vertical="center" wrapText="1"/>
    </xf>
    <xf numFmtId="164" fontId="10" fillId="5" borderId="23" xfId="2" applyNumberFormat="1" applyFont="1" applyFill="1" applyBorder="1" applyAlignment="1">
      <alignment vertical="center" wrapText="1"/>
    </xf>
    <xf numFmtId="3" fontId="9" fillId="0" borderId="0" xfId="2" applyNumberFormat="1" applyFont="1" applyFill="1" applyBorder="1" applyAlignment="1">
      <alignment horizontal="right" vertical="center" wrapText="1"/>
    </xf>
    <xf numFmtId="3" fontId="5" fillId="0" borderId="0" xfId="0" applyNumberFormat="1" applyFont="1" applyAlignment="1">
      <alignment horizontal="right" vertical="top" wrapText="1"/>
    </xf>
    <xf numFmtId="3" fontId="10" fillId="0" borderId="0" xfId="2" applyNumberFormat="1" applyFont="1" applyFill="1" applyBorder="1" applyAlignment="1">
      <alignment vertical="center" wrapText="1"/>
    </xf>
    <xf numFmtId="3" fontId="10" fillId="0" borderId="0" xfId="2" applyNumberFormat="1" applyFont="1" applyFill="1" applyBorder="1" applyAlignment="1">
      <alignment horizontal="right" vertical="center" wrapText="1"/>
    </xf>
    <xf numFmtId="1" fontId="10" fillId="0" borderId="0" xfId="0" applyNumberFormat="1" applyFont="1" applyAlignment="1">
      <alignment horizontal="right" vertical="center" wrapText="1"/>
    </xf>
    <xf numFmtId="0" fontId="3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9" fillId="5" borderId="1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5" borderId="0" xfId="0" applyFont="1" applyFill="1" applyAlignment="1">
      <alignment vertical="center" wrapText="1"/>
    </xf>
    <xf numFmtId="3" fontId="5" fillId="5" borderId="0" xfId="0" applyNumberFormat="1" applyFont="1" applyFill="1" applyAlignment="1">
      <alignment horizontal="right" vertical="center" wrapText="1" indent="1"/>
    </xf>
    <xf numFmtId="0" fontId="5" fillId="5" borderId="11" xfId="0" applyFont="1" applyFill="1" applyBorder="1" applyAlignment="1">
      <alignment horizontal="center" vertical="center" wrapText="1"/>
    </xf>
    <xf numFmtId="164" fontId="5" fillId="5" borderId="20" xfId="0" applyNumberFormat="1" applyFont="1" applyFill="1" applyBorder="1" applyAlignment="1">
      <alignment horizontal="right" vertical="center" wrapText="1" indent="1"/>
    </xf>
    <xf numFmtId="14" fontId="18" fillId="5" borderId="84" xfId="7" applyNumberFormat="1" applyFont="1" applyFill="1" applyBorder="1" applyAlignment="1">
      <alignment horizontal="center" vertical="center" wrapText="1"/>
    </xf>
    <xf numFmtId="0" fontId="18" fillId="5" borderId="85" xfId="7" applyFont="1" applyFill="1" applyBorder="1" applyAlignment="1">
      <alignment horizontal="center" vertical="center" wrapText="1"/>
    </xf>
    <xf numFmtId="14" fontId="18" fillId="5" borderId="85" xfId="7" applyNumberFormat="1" applyFont="1" applyFill="1" applyBorder="1" applyAlignment="1">
      <alignment horizontal="center" vertical="center" wrapText="1"/>
    </xf>
    <xf numFmtId="0" fontId="46" fillId="7" borderId="36" xfId="7" applyFont="1" applyFill="1" applyBorder="1" applyAlignment="1">
      <alignment vertical="center"/>
    </xf>
    <xf numFmtId="0" fontId="18" fillId="5" borderId="92" xfId="7" applyFont="1" applyFill="1" applyBorder="1" applyAlignment="1">
      <alignment horizontal="center" vertical="center" wrapText="1"/>
    </xf>
    <xf numFmtId="0" fontId="66" fillId="0" borderId="0" xfId="7" applyFont="1"/>
    <xf numFmtId="0" fontId="46" fillId="7" borderId="0" xfId="7" applyFont="1" applyFill="1" applyAlignment="1">
      <alignment vertical="center"/>
    </xf>
    <xf numFmtId="49" fontId="10" fillId="5" borderId="19" xfId="0" applyNumberFormat="1" applyFont="1" applyFill="1" applyBorder="1" applyAlignment="1">
      <alignment horizontal="right" vertical="center" wrapText="1" indent="1"/>
    </xf>
    <xf numFmtId="49" fontId="10" fillId="5" borderId="11" xfId="0" applyNumberFormat="1" applyFont="1" applyFill="1" applyBorder="1" applyAlignment="1">
      <alignment horizontal="right" vertical="center" wrapText="1" indent="1"/>
    </xf>
    <xf numFmtId="165" fontId="9" fillId="5" borderId="20" xfId="0" applyNumberFormat="1" applyFont="1" applyFill="1" applyBorder="1" applyAlignment="1">
      <alignment horizontal="right" vertical="center" wrapText="1" indent="1"/>
    </xf>
    <xf numFmtId="165" fontId="9" fillId="5" borderId="0" xfId="0" applyNumberFormat="1" applyFont="1" applyFill="1" applyAlignment="1">
      <alignment horizontal="right" vertical="center" wrapText="1" indent="1"/>
    </xf>
    <xf numFmtId="165" fontId="9" fillId="5" borderId="33" xfId="0" applyNumberFormat="1" applyFont="1" applyFill="1" applyBorder="1" applyAlignment="1">
      <alignment horizontal="right" vertical="center" wrapText="1" indent="1"/>
    </xf>
    <xf numFmtId="165" fontId="9" fillId="5" borderId="16" xfId="0" applyNumberFormat="1" applyFont="1" applyFill="1" applyBorder="1" applyAlignment="1">
      <alignment horizontal="right" vertical="center" wrapText="1" indent="1"/>
    </xf>
    <xf numFmtId="0" fontId="21" fillId="5" borderId="11" xfId="0" applyFont="1" applyFill="1" applyBorder="1" applyAlignment="1">
      <alignment horizontal="center" vertical="center" wrapText="1"/>
    </xf>
    <xf numFmtId="0" fontId="22" fillId="5" borderId="0" xfId="3" applyFont="1" applyFill="1" applyAlignment="1">
      <alignment horizontal="left" vertical="center" wrapText="1"/>
    </xf>
    <xf numFmtId="0" fontId="2" fillId="5" borderId="0" xfId="3" applyFont="1" applyFill="1" applyAlignment="1">
      <alignment horizontal="left" vertical="center" wrapText="1" indent="1"/>
    </xf>
    <xf numFmtId="0" fontId="2" fillId="5" borderId="11" xfId="3" applyFont="1" applyFill="1" applyBorder="1" applyAlignment="1">
      <alignment horizontal="left" vertical="center" wrapText="1" indent="1"/>
    </xf>
    <xf numFmtId="0" fontId="22" fillId="5" borderId="0" xfId="3" applyFont="1" applyFill="1" applyAlignment="1">
      <alignment vertical="center" wrapText="1"/>
    </xf>
    <xf numFmtId="0" fontId="2" fillId="5" borderId="0" xfId="3" applyFont="1" applyFill="1" applyAlignment="1">
      <alignment horizontal="left" vertical="center" wrapText="1" indent="2"/>
    </xf>
    <xf numFmtId="0" fontId="22" fillId="5" borderId="21" xfId="3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47" fillId="5" borderId="19" xfId="3" applyFont="1" applyFill="1" applyBorder="1" applyAlignment="1">
      <alignment horizontal="center" vertical="center" wrapText="1"/>
    </xf>
    <xf numFmtId="0" fontId="47" fillId="5" borderId="11" xfId="3" applyFont="1" applyFill="1" applyBorder="1" applyAlignment="1">
      <alignment horizontal="center" vertical="center" wrapText="1"/>
    </xf>
    <xf numFmtId="0" fontId="47" fillId="5" borderId="10" xfId="3" applyFont="1" applyFill="1" applyBorder="1" applyAlignment="1">
      <alignment horizontal="center" vertical="center" wrapText="1"/>
    </xf>
    <xf numFmtId="0" fontId="46" fillId="7" borderId="0" xfId="0" applyFont="1" applyFill="1" applyAlignment="1">
      <alignment vertical="center" wrapText="1"/>
    </xf>
    <xf numFmtId="0" fontId="9" fillId="5" borderId="11" xfId="7" applyFont="1" applyFill="1" applyBorder="1" applyAlignment="1">
      <alignment horizontal="right" vertical="center" wrapText="1" indent="1"/>
    </xf>
    <xf numFmtId="0" fontId="9" fillId="5" borderId="10" xfId="7" applyFont="1" applyFill="1" applyBorder="1" applyAlignment="1">
      <alignment horizontal="right" vertical="center" wrapText="1" indent="1"/>
    </xf>
    <xf numFmtId="0" fontId="9" fillId="5" borderId="19" xfId="7" applyFont="1" applyFill="1" applyBorder="1" applyAlignment="1">
      <alignment horizontal="right" vertical="center" wrapText="1" indent="1"/>
    </xf>
    <xf numFmtId="0" fontId="7" fillId="0" borderId="0" xfId="7" applyFont="1"/>
    <xf numFmtId="0" fontId="55" fillId="5" borderId="0" xfId="7" applyFont="1" applyFill="1" applyAlignment="1">
      <alignment vertical="center" wrapText="1"/>
    </xf>
    <xf numFmtId="164" fontId="55" fillId="5" borderId="0" xfId="7" applyNumberFormat="1" applyFont="1" applyFill="1" applyAlignment="1">
      <alignment horizontal="right" vertical="center" wrapText="1" indent="1"/>
    </xf>
    <xf numFmtId="165" fontId="55" fillId="3" borderId="12" xfId="7" applyNumberFormat="1" applyFont="1" applyFill="1" applyBorder="1" applyAlignment="1">
      <alignment horizontal="right" vertical="center" wrapText="1" indent="1"/>
    </xf>
    <xf numFmtId="164" fontId="55" fillId="5" borderId="20" xfId="7" applyNumberFormat="1" applyFont="1" applyFill="1" applyBorder="1" applyAlignment="1">
      <alignment horizontal="right" vertical="center" wrapText="1" indent="1"/>
    </xf>
    <xf numFmtId="1" fontId="55" fillId="5" borderId="0" xfId="7" applyNumberFormat="1" applyFont="1" applyFill="1" applyAlignment="1">
      <alignment horizontal="right" vertical="center" wrapText="1" indent="1"/>
    </xf>
    <xf numFmtId="0" fontId="61" fillId="5" borderId="11" xfId="7" applyFont="1" applyFill="1" applyBorder="1" applyAlignment="1">
      <alignment horizontal="left" vertical="center" wrapText="1"/>
    </xf>
    <xf numFmtId="164" fontId="61" fillId="5" borderId="11" xfId="7" applyNumberFormat="1" applyFont="1" applyFill="1" applyBorder="1" applyAlignment="1">
      <alignment horizontal="right" vertical="center" wrapText="1" indent="1"/>
    </xf>
    <xf numFmtId="165" fontId="61" fillId="3" borderId="10" xfId="7" applyNumberFormat="1" applyFont="1" applyFill="1" applyBorder="1" applyAlignment="1">
      <alignment horizontal="right" vertical="center" wrapText="1" indent="1"/>
    </xf>
    <xf numFmtId="164" fontId="61" fillId="5" borderId="19" xfId="7" applyNumberFormat="1" applyFont="1" applyFill="1" applyBorder="1" applyAlignment="1">
      <alignment horizontal="right" vertical="center" wrapText="1" indent="1"/>
    </xf>
    <xf numFmtId="1" fontId="61" fillId="5" borderId="11" xfId="7" applyNumberFormat="1" applyFont="1" applyFill="1" applyBorder="1" applyAlignment="1">
      <alignment horizontal="right" vertical="center" wrapText="1" indent="1"/>
    </xf>
    <xf numFmtId="0" fontId="55" fillId="5" borderId="0" xfId="7" applyFont="1" applyFill="1" applyAlignment="1">
      <alignment horizontal="left" vertical="center" wrapText="1"/>
    </xf>
    <xf numFmtId="0" fontId="61" fillId="5" borderId="16" xfId="7" applyFont="1" applyFill="1" applyBorder="1" applyAlignment="1">
      <alignment horizontal="left" vertical="center" wrapText="1"/>
    </xf>
    <xf numFmtId="164" fontId="61" fillId="5" borderId="16" xfId="7" applyNumberFormat="1" applyFont="1" applyFill="1" applyBorder="1" applyAlignment="1">
      <alignment horizontal="right" vertical="center" wrapText="1" indent="1"/>
    </xf>
    <xf numFmtId="1" fontId="61" fillId="3" borderId="15" xfId="7" applyNumberFormat="1" applyFont="1" applyFill="1" applyBorder="1" applyAlignment="1">
      <alignment horizontal="right" vertical="center" wrapText="1" indent="1"/>
    </xf>
    <xf numFmtId="164" fontId="61" fillId="5" borderId="33" xfId="7" applyNumberFormat="1" applyFont="1" applyFill="1" applyBorder="1" applyAlignment="1">
      <alignment horizontal="right" vertical="center" wrapText="1" indent="1"/>
    </xf>
    <xf numFmtId="1" fontId="61" fillId="5" borderId="16" xfId="7" applyNumberFormat="1" applyFont="1" applyFill="1" applyBorder="1" applyAlignment="1">
      <alignment horizontal="right" vertical="center" wrapText="1" indent="1"/>
    </xf>
    <xf numFmtId="0" fontId="71" fillId="0" borderId="0" xfId="7" applyFont="1"/>
    <xf numFmtId="0" fontId="72" fillId="0" borderId="0" xfId="7" applyFont="1"/>
    <xf numFmtId="0" fontId="5" fillId="5" borderId="0" xfId="3" applyFont="1" applyFill="1" applyAlignment="1">
      <alignment horizontal="left" vertical="center" wrapText="1"/>
    </xf>
    <xf numFmtId="0" fontId="21" fillId="5" borderId="21" xfId="3" applyFont="1" applyFill="1" applyBorder="1" applyAlignment="1">
      <alignment horizontal="left" vertical="center" wrapText="1"/>
    </xf>
    <xf numFmtId="0" fontId="21" fillId="5" borderId="0" xfId="3" applyFont="1" applyFill="1" applyAlignment="1">
      <alignment vertical="center" wrapText="1"/>
    </xf>
    <xf numFmtId="0" fontId="5" fillId="5" borderId="0" xfId="3" applyFont="1" applyFill="1" applyAlignment="1">
      <alignment horizontal="left" vertical="center" wrapText="1" indent="1"/>
    </xf>
    <xf numFmtId="0" fontId="5" fillId="5" borderId="11" xfId="3" applyFont="1" applyFill="1" applyBorder="1" applyAlignment="1">
      <alignment horizontal="left" vertical="center" wrapText="1" indent="1"/>
    </xf>
    <xf numFmtId="0" fontId="5" fillId="5" borderId="16" xfId="3" applyFont="1" applyFill="1" applyBorder="1" applyAlignment="1">
      <alignment horizontal="left" vertical="center" wrapText="1" indent="1"/>
    </xf>
    <xf numFmtId="0" fontId="69" fillId="5" borderId="100" xfId="7" applyFont="1" applyFill="1" applyBorder="1"/>
    <xf numFmtId="0" fontId="0" fillId="0" borderId="100" xfId="0" applyBorder="1"/>
    <xf numFmtId="49" fontId="14" fillId="5" borderId="11" xfId="0" applyNumberFormat="1" applyFont="1" applyFill="1" applyBorder="1" applyAlignment="1">
      <alignment horizontal="center" vertical="center" wrapText="1"/>
    </xf>
    <xf numFmtId="49" fontId="10" fillId="5" borderId="0" xfId="0" applyNumberFormat="1" applyFont="1" applyFill="1" applyAlignment="1">
      <alignment vertical="top" wrapText="1"/>
    </xf>
    <xf numFmtId="0" fontId="10" fillId="5" borderId="0" xfId="0" applyFont="1" applyFill="1" applyAlignment="1">
      <alignment vertical="top" wrapText="1"/>
    </xf>
    <xf numFmtId="164" fontId="10" fillId="5" borderId="20" xfId="0" applyNumberFormat="1" applyFont="1" applyFill="1" applyBorder="1" applyAlignment="1">
      <alignment horizontal="right" vertical="top" wrapText="1" indent="1"/>
    </xf>
    <xf numFmtId="164" fontId="10" fillId="5" borderId="0" xfId="0" applyNumberFormat="1" applyFont="1" applyFill="1" applyAlignment="1">
      <alignment horizontal="right" vertical="top" wrapText="1" indent="1"/>
    </xf>
    <xf numFmtId="3" fontId="10" fillId="5" borderId="0" xfId="0" applyNumberFormat="1" applyFont="1" applyFill="1" applyAlignment="1">
      <alignment horizontal="right" vertical="top" wrapText="1" indent="1"/>
    </xf>
    <xf numFmtId="49" fontId="10" fillId="5" borderId="14" xfId="0" applyNumberFormat="1" applyFont="1" applyFill="1" applyBorder="1" applyAlignment="1">
      <alignment vertical="top" wrapText="1"/>
    </xf>
    <xf numFmtId="0" fontId="10" fillId="5" borderId="14" xfId="0" applyFont="1" applyFill="1" applyBorder="1" applyAlignment="1">
      <alignment vertical="top" wrapText="1"/>
    </xf>
    <xf numFmtId="164" fontId="10" fillId="5" borderId="63" xfId="0" applyNumberFormat="1" applyFont="1" applyFill="1" applyBorder="1" applyAlignment="1">
      <alignment horizontal="right" vertical="top" wrapText="1" indent="1"/>
    </xf>
    <xf numFmtId="164" fontId="10" fillId="5" borderId="14" xfId="0" applyNumberFormat="1" applyFont="1" applyFill="1" applyBorder="1" applyAlignment="1">
      <alignment horizontal="right" vertical="top" wrapText="1" indent="1"/>
    </xf>
    <xf numFmtId="3" fontId="10" fillId="5" borderId="14" xfId="0" applyNumberFormat="1" applyFont="1" applyFill="1" applyBorder="1" applyAlignment="1">
      <alignment horizontal="right" vertical="top" wrapText="1" indent="1"/>
    </xf>
    <xf numFmtId="49" fontId="9" fillId="5" borderId="0" xfId="0" applyNumberFormat="1" applyFont="1" applyFill="1" applyAlignment="1">
      <alignment vertical="top" wrapText="1"/>
    </xf>
    <xf numFmtId="0" fontId="9" fillId="5" borderId="0" xfId="0" applyFont="1" applyFill="1" applyAlignment="1">
      <alignment vertical="top" wrapText="1"/>
    </xf>
    <xf numFmtId="164" fontId="9" fillId="5" borderId="20" xfId="0" applyNumberFormat="1" applyFont="1" applyFill="1" applyBorder="1" applyAlignment="1">
      <alignment horizontal="right" vertical="top" wrapText="1" indent="1"/>
    </xf>
    <xf numFmtId="164" fontId="9" fillId="5" borderId="0" xfId="0" applyNumberFormat="1" applyFont="1" applyFill="1" applyAlignment="1">
      <alignment horizontal="right" vertical="top" wrapText="1" indent="1"/>
    </xf>
    <xf numFmtId="3" fontId="9" fillId="5" borderId="0" xfId="0" applyNumberFormat="1" applyFont="1" applyFill="1" applyAlignment="1">
      <alignment horizontal="right" vertical="top" wrapText="1" indent="1"/>
    </xf>
    <xf numFmtId="49" fontId="9" fillId="5" borderId="11" xfId="0" applyNumberFormat="1" applyFont="1" applyFill="1" applyBorder="1" applyAlignment="1">
      <alignment vertical="top" wrapText="1"/>
    </xf>
    <xf numFmtId="0" fontId="9" fillId="5" borderId="11" xfId="0" applyFont="1" applyFill="1" applyBorder="1" applyAlignment="1">
      <alignment vertical="top" wrapText="1"/>
    </xf>
    <xf numFmtId="164" fontId="9" fillId="5" borderId="19" xfId="0" applyNumberFormat="1" applyFont="1" applyFill="1" applyBorder="1" applyAlignment="1">
      <alignment horizontal="right" vertical="top" wrapText="1" indent="1"/>
    </xf>
    <xf numFmtId="164" fontId="9" fillId="5" borderId="11" xfId="0" applyNumberFormat="1" applyFont="1" applyFill="1" applyBorder="1" applyAlignment="1">
      <alignment horizontal="right" vertical="top" wrapText="1" indent="1"/>
    </xf>
    <xf numFmtId="49" fontId="9" fillId="5" borderId="16" xfId="0" applyNumberFormat="1" applyFont="1" applyFill="1" applyBorder="1" applyAlignment="1">
      <alignment vertical="top" wrapText="1"/>
    </xf>
    <xf numFmtId="0" fontId="9" fillId="5" borderId="16" xfId="0" applyFont="1" applyFill="1" applyBorder="1" applyAlignment="1">
      <alignment vertical="top" wrapText="1"/>
    </xf>
    <xf numFmtId="164" fontId="9" fillId="5" borderId="33" xfId="0" applyNumberFormat="1" applyFont="1" applyFill="1" applyBorder="1" applyAlignment="1">
      <alignment horizontal="right" vertical="top" wrapText="1" indent="1"/>
    </xf>
    <xf numFmtId="164" fontId="9" fillId="5" borderId="16" xfId="0" applyNumberFormat="1" applyFont="1" applyFill="1" applyBorder="1" applyAlignment="1">
      <alignment horizontal="right" vertical="top" wrapText="1" indent="1"/>
    </xf>
    <xf numFmtId="3" fontId="9" fillId="5" borderId="16" xfId="0" applyNumberFormat="1" applyFont="1" applyFill="1" applyBorder="1" applyAlignment="1">
      <alignment horizontal="right" vertical="top" wrapText="1" indent="1"/>
    </xf>
    <xf numFmtId="0" fontId="15" fillId="0" borderId="0" xfId="0" applyFont="1"/>
    <xf numFmtId="49" fontId="21" fillId="5" borderId="19" xfId="0" applyNumberFormat="1" applyFont="1" applyFill="1" applyBorder="1" applyAlignment="1">
      <alignment horizontal="center" vertical="center" wrapText="1"/>
    </xf>
    <xf numFmtId="49" fontId="21" fillId="5" borderId="11" xfId="0" applyNumberFormat="1" applyFont="1" applyFill="1" applyBorder="1" applyAlignment="1">
      <alignment horizontal="center" vertical="center" wrapText="1"/>
    </xf>
    <xf numFmtId="0" fontId="21" fillId="5" borderId="0" xfId="0" applyFont="1" applyFill="1" applyAlignment="1">
      <alignment vertical="center" wrapText="1"/>
    </xf>
    <xf numFmtId="164" fontId="21" fillId="5" borderId="20" xfId="0" applyNumberFormat="1" applyFont="1" applyFill="1" applyBorder="1" applyAlignment="1">
      <alignment horizontal="right" vertical="center" wrapText="1" indent="1"/>
    </xf>
    <xf numFmtId="164" fontId="21" fillId="5" borderId="0" xfId="0" applyNumberFormat="1" applyFont="1" applyFill="1" applyAlignment="1">
      <alignment horizontal="right" vertical="center" wrapText="1" indent="1"/>
    </xf>
    <xf numFmtId="3" fontId="21" fillId="5" borderId="0" xfId="0" applyNumberFormat="1" applyFont="1" applyFill="1" applyAlignment="1">
      <alignment horizontal="right" vertical="center" wrapText="1" indent="1"/>
    </xf>
    <xf numFmtId="0" fontId="5" fillId="5" borderId="0" xfId="0" applyFont="1" applyFill="1" applyAlignment="1">
      <alignment horizontal="left" vertical="center" wrapText="1"/>
    </xf>
    <xf numFmtId="164" fontId="5" fillId="5" borderId="0" xfId="0" applyNumberFormat="1" applyFont="1" applyFill="1" applyAlignment="1">
      <alignment horizontal="right" vertical="center" wrapText="1" indent="1"/>
    </xf>
    <xf numFmtId="0" fontId="5" fillId="5" borderId="16" xfId="0" applyFont="1" applyFill="1" applyBorder="1" applyAlignment="1">
      <alignment horizontal="left" vertical="center" wrapText="1"/>
    </xf>
    <xf numFmtId="164" fontId="5" fillId="5" borderId="33" xfId="2" applyNumberFormat="1" applyFont="1" applyFill="1" applyBorder="1" applyAlignment="1">
      <alignment horizontal="right" vertical="center" wrapText="1" indent="1"/>
    </xf>
    <xf numFmtId="164" fontId="5" fillId="5" borderId="16" xfId="2" applyNumberFormat="1" applyFont="1" applyFill="1" applyBorder="1" applyAlignment="1">
      <alignment horizontal="right" vertical="center" wrapText="1" indent="1"/>
    </xf>
    <xf numFmtId="3" fontId="5" fillId="5" borderId="16" xfId="0" applyNumberFormat="1" applyFont="1" applyFill="1" applyBorder="1" applyAlignment="1">
      <alignment horizontal="right" vertical="center" wrapText="1" indent="1"/>
    </xf>
    <xf numFmtId="0" fontId="46" fillId="7" borderId="0" xfId="7" applyFont="1" applyFill="1" applyAlignment="1">
      <alignment horizontal="right" vertical="center"/>
    </xf>
    <xf numFmtId="49" fontId="21" fillId="5" borderId="19" xfId="0" applyNumberFormat="1" applyFont="1" applyFill="1" applyBorder="1" applyAlignment="1">
      <alignment horizontal="right" vertical="center" wrapText="1" indent="1"/>
    </xf>
    <xf numFmtId="49" fontId="21" fillId="5" borderId="11" xfId="0" applyNumberFormat="1" applyFont="1" applyFill="1" applyBorder="1" applyAlignment="1">
      <alignment horizontal="right" vertical="center" wrapText="1" indent="1"/>
    </xf>
    <xf numFmtId="0" fontId="21" fillId="5" borderId="14" xfId="0" applyFont="1" applyFill="1" applyBorder="1" applyAlignment="1">
      <alignment horizontal="left" vertical="center" wrapText="1"/>
    </xf>
    <xf numFmtId="164" fontId="21" fillId="5" borderId="63" xfId="0" applyNumberFormat="1" applyFont="1" applyFill="1" applyBorder="1" applyAlignment="1">
      <alignment horizontal="right" vertical="center" wrapText="1" indent="1"/>
    </xf>
    <xf numFmtId="164" fontId="21" fillId="5" borderId="14" xfId="0" applyNumberFormat="1" applyFont="1" applyFill="1" applyBorder="1" applyAlignment="1">
      <alignment horizontal="right" vertical="center" wrapText="1" indent="1"/>
    </xf>
    <xf numFmtId="3" fontId="21" fillId="5" borderId="14" xfId="0" applyNumberFormat="1" applyFont="1" applyFill="1" applyBorder="1" applyAlignment="1">
      <alignment horizontal="right" vertical="center" wrapText="1" indent="1"/>
    </xf>
    <xf numFmtId="0" fontId="21" fillId="3" borderId="11" xfId="0" applyFont="1" applyFill="1" applyBorder="1" applyAlignment="1">
      <alignment horizontal="left" vertical="center" wrapText="1"/>
    </xf>
    <xf numFmtId="166" fontId="21" fillId="3" borderId="19" xfId="2" applyNumberFormat="1" applyFont="1" applyFill="1" applyBorder="1" applyAlignment="1">
      <alignment horizontal="right" vertical="center" wrapText="1" indent="1"/>
    </xf>
    <xf numFmtId="166" fontId="21" fillId="3" borderId="11" xfId="2" applyNumberFormat="1" applyFont="1" applyFill="1" applyBorder="1" applyAlignment="1">
      <alignment horizontal="right" vertical="center" wrapText="1" indent="1"/>
    </xf>
    <xf numFmtId="3" fontId="21" fillId="3" borderId="11" xfId="0" applyNumberFormat="1" applyFont="1" applyFill="1" applyBorder="1" applyAlignment="1">
      <alignment horizontal="right" vertical="center" wrapText="1" indent="1"/>
    </xf>
    <xf numFmtId="0" fontId="21" fillId="3" borderId="16" xfId="0" applyFont="1" applyFill="1" applyBorder="1" applyAlignment="1">
      <alignment horizontal="left" vertical="center" wrapText="1"/>
    </xf>
    <xf numFmtId="166" fontId="21" fillId="3" borderId="33" xfId="2" applyNumberFormat="1" applyFont="1" applyFill="1" applyBorder="1" applyAlignment="1">
      <alignment horizontal="right" vertical="center" wrapText="1" indent="1"/>
    </xf>
    <xf numFmtId="166" fontId="21" fillId="3" borderId="16" xfId="2" applyNumberFormat="1" applyFont="1" applyFill="1" applyBorder="1" applyAlignment="1">
      <alignment horizontal="right" vertical="center" wrapText="1" indent="1"/>
    </xf>
    <xf numFmtId="3" fontId="21" fillId="3" borderId="16" xfId="0" applyNumberFormat="1" applyFont="1" applyFill="1" applyBorder="1" applyAlignment="1">
      <alignment horizontal="right" vertical="center" wrapText="1" indent="1"/>
    </xf>
    <xf numFmtId="166" fontId="10" fillId="5" borderId="22" xfId="2" applyNumberFormat="1" applyFont="1" applyFill="1" applyBorder="1" applyAlignment="1">
      <alignment horizontal="right" vertical="center" wrapText="1" indent="1"/>
    </xf>
    <xf numFmtId="166" fontId="10" fillId="5" borderId="21" xfId="2" applyNumberFormat="1" applyFont="1" applyFill="1" applyBorder="1" applyAlignment="1">
      <alignment horizontal="right" vertical="center" wrapText="1" indent="1"/>
    </xf>
    <xf numFmtId="0" fontId="12" fillId="5" borderId="0" xfId="0" applyFont="1" applyFill="1" applyAlignment="1">
      <alignment horizontal="left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49" fillId="7" borderId="0" xfId="0" applyFont="1" applyFill="1" applyAlignment="1">
      <alignment horizontal="right" vertical="center"/>
    </xf>
    <xf numFmtId="49" fontId="10" fillId="5" borderId="50" xfId="0" applyNumberFormat="1" applyFont="1" applyFill="1" applyBorder="1" applyAlignment="1">
      <alignment horizontal="center" vertical="center" wrapText="1"/>
    </xf>
    <xf numFmtId="49" fontId="10" fillId="5" borderId="48" xfId="0" applyNumberFormat="1" applyFont="1" applyFill="1" applyBorder="1" applyAlignment="1">
      <alignment horizontal="center" vertical="center" wrapText="1"/>
    </xf>
    <xf numFmtId="164" fontId="9" fillId="5" borderId="56" xfId="0" applyNumberFormat="1" applyFont="1" applyFill="1" applyBorder="1" applyAlignment="1">
      <alignment horizontal="right" vertical="center" wrapText="1"/>
    </xf>
    <xf numFmtId="164" fontId="12" fillId="5" borderId="0" xfId="0" applyNumberFormat="1" applyFont="1" applyFill="1" applyAlignment="1">
      <alignment horizontal="right" vertical="center" wrapText="1"/>
    </xf>
    <xf numFmtId="164" fontId="12" fillId="5" borderId="56" xfId="0" applyNumberFormat="1" applyFont="1" applyFill="1" applyBorder="1" applyAlignment="1">
      <alignment horizontal="right" vertical="center" wrapText="1"/>
    </xf>
    <xf numFmtId="0" fontId="61" fillId="5" borderId="66" xfId="0" applyFont="1" applyFill="1" applyBorder="1" applyAlignment="1">
      <alignment vertical="center" wrapText="1"/>
    </xf>
    <xf numFmtId="164" fontId="10" fillId="5" borderId="65" xfId="2" applyNumberFormat="1" applyFont="1" applyFill="1" applyBorder="1" applyAlignment="1">
      <alignment vertical="center" wrapText="1"/>
    </xf>
    <xf numFmtId="164" fontId="10" fillId="5" borderId="57" xfId="2" applyNumberFormat="1" applyFont="1" applyFill="1" applyBorder="1" applyAlignment="1">
      <alignment vertical="center" wrapText="1"/>
    </xf>
    <xf numFmtId="0" fontId="55" fillId="5" borderId="116" xfId="0" applyFont="1" applyFill="1" applyBorder="1" applyAlignment="1">
      <alignment horizontal="center" vertical="center" wrapText="1"/>
    </xf>
    <xf numFmtId="49" fontId="10" fillId="5" borderId="37" xfId="0" applyNumberFormat="1" applyFont="1" applyFill="1" applyBorder="1" applyAlignment="1">
      <alignment horizontal="right" vertical="center" wrapText="1" indent="1"/>
    </xf>
    <xf numFmtId="49" fontId="10" fillId="5" borderId="36" xfId="0" applyNumberFormat="1" applyFont="1" applyFill="1" applyBorder="1" applyAlignment="1">
      <alignment horizontal="right" vertical="center" wrapText="1" indent="1"/>
    </xf>
    <xf numFmtId="0" fontId="9" fillId="5" borderId="87" xfId="0" applyFont="1" applyFill="1" applyBorder="1" applyAlignment="1">
      <alignment vertical="center" wrapText="1"/>
    </xf>
    <xf numFmtId="164" fontId="9" fillId="5" borderId="93" xfId="0" applyNumberFormat="1" applyFont="1" applyFill="1" applyBorder="1" applyAlignment="1">
      <alignment horizontal="right" vertical="center" wrapText="1" indent="1"/>
    </xf>
    <xf numFmtId="164" fontId="9" fillId="5" borderId="87" xfId="0" applyNumberFormat="1" applyFont="1" applyFill="1" applyBorder="1" applyAlignment="1">
      <alignment horizontal="right" vertical="center" wrapText="1" indent="1"/>
    </xf>
    <xf numFmtId="166" fontId="10" fillId="5" borderId="40" xfId="0" applyNumberFormat="1" applyFont="1" applyFill="1" applyBorder="1" applyAlignment="1">
      <alignment horizontal="right" vertical="center" wrapText="1" indent="1"/>
    </xf>
    <xf numFmtId="166" fontId="10" fillId="5" borderId="0" xfId="0" applyNumberFormat="1" applyFont="1" applyFill="1" applyAlignment="1">
      <alignment horizontal="right" vertical="center" wrapText="1" indent="1"/>
    </xf>
    <xf numFmtId="0" fontId="10" fillId="5" borderId="90" xfId="0" applyFont="1" applyFill="1" applyBorder="1" applyAlignment="1">
      <alignment vertical="center" wrapText="1"/>
    </xf>
    <xf numFmtId="166" fontId="10" fillId="5" borderId="98" xfId="0" applyNumberFormat="1" applyFont="1" applyFill="1" applyBorder="1" applyAlignment="1">
      <alignment horizontal="right" vertical="center" wrapText="1" indent="1"/>
    </xf>
    <xf numFmtId="166" fontId="10" fillId="5" borderId="90" xfId="0" applyNumberFormat="1" applyFont="1" applyFill="1" applyBorder="1" applyAlignment="1">
      <alignment horizontal="right" vertical="center" wrapText="1" indent="1"/>
    </xf>
    <xf numFmtId="164" fontId="10" fillId="5" borderId="23" xfId="0" applyNumberFormat="1" applyFont="1" applyFill="1" applyBorder="1" applyAlignment="1">
      <alignment horizontal="right" vertical="center" wrapText="1" indent="1"/>
    </xf>
    <xf numFmtId="164" fontId="10" fillId="5" borderId="21" xfId="0" applyNumberFormat="1" applyFont="1" applyFill="1" applyBorder="1" applyAlignment="1">
      <alignment horizontal="right" vertical="center" wrapText="1" indent="1"/>
    </xf>
    <xf numFmtId="0" fontId="2" fillId="0" borderId="0" xfId="0" applyFont="1" applyAlignment="1">
      <alignment horizontal="left" vertical="center"/>
    </xf>
    <xf numFmtId="0" fontId="46" fillId="7" borderId="0" xfId="7" applyFont="1" applyFill="1" applyAlignment="1">
      <alignment horizontal="left" vertical="center"/>
    </xf>
    <xf numFmtId="0" fontId="0" fillId="0" borderId="0" xfId="0" applyAlignment="1">
      <alignment vertical="center"/>
    </xf>
    <xf numFmtId="164" fontId="68" fillId="0" borderId="0" xfId="0" applyNumberFormat="1" applyFont="1" applyAlignment="1">
      <alignment horizontal="right" vertical="center" wrapText="1"/>
    </xf>
    <xf numFmtId="0" fontId="22" fillId="5" borderId="120" xfId="0" applyFont="1" applyFill="1" applyBorder="1" applyAlignment="1">
      <alignment horizontal="center" vertical="center" wrapText="1"/>
    </xf>
    <xf numFmtId="0" fontId="22" fillId="5" borderId="123" xfId="0" applyFont="1" applyFill="1" applyBorder="1" applyAlignment="1">
      <alignment horizontal="center" vertical="center" wrapText="1"/>
    </xf>
    <xf numFmtId="0" fontId="12" fillId="5" borderId="124" xfId="0" applyFont="1" applyFill="1" applyBorder="1" applyAlignment="1">
      <alignment horizontal="left" vertical="center" wrapText="1"/>
    </xf>
    <xf numFmtId="164" fontId="12" fillId="5" borderId="125" xfId="0" applyNumberFormat="1" applyFont="1" applyFill="1" applyBorder="1" applyAlignment="1">
      <alignment horizontal="right" vertical="center" wrapText="1" indent="1"/>
    </xf>
    <xf numFmtId="0" fontId="12" fillId="5" borderId="126" xfId="0" applyFont="1" applyFill="1" applyBorder="1" applyAlignment="1">
      <alignment horizontal="right" vertical="center" wrapText="1"/>
    </xf>
    <xf numFmtId="0" fontId="12" fillId="5" borderId="127" xfId="0" applyFont="1" applyFill="1" applyBorder="1" applyAlignment="1">
      <alignment horizontal="left" vertical="center" wrapText="1"/>
    </xf>
    <xf numFmtId="164" fontId="12" fillId="5" borderId="128" xfId="0" applyNumberFormat="1" applyFont="1" applyFill="1" applyBorder="1" applyAlignment="1">
      <alignment horizontal="right" vertical="center" wrapText="1" indent="1"/>
    </xf>
    <xf numFmtId="0" fontId="12" fillId="5" borderId="129" xfId="0" applyFont="1" applyFill="1" applyBorder="1" applyAlignment="1">
      <alignment horizontal="right" vertical="center" wrapText="1"/>
    </xf>
    <xf numFmtId="0" fontId="12" fillId="5" borderId="130" xfId="0" applyFont="1" applyFill="1" applyBorder="1" applyAlignment="1">
      <alignment horizontal="left" vertical="center" wrapText="1"/>
    </xf>
    <xf numFmtId="164" fontId="12" fillId="5" borderId="131" xfId="0" applyNumberFormat="1" applyFont="1" applyFill="1" applyBorder="1" applyAlignment="1">
      <alignment horizontal="right" vertical="center" wrapText="1" indent="1"/>
    </xf>
    <xf numFmtId="0" fontId="12" fillId="5" borderId="132" xfId="0" applyFont="1" applyFill="1" applyBorder="1" applyAlignment="1">
      <alignment horizontal="right" vertical="center" wrapText="1"/>
    </xf>
    <xf numFmtId="0" fontId="12" fillId="5" borderId="108" xfId="0" applyFont="1" applyFill="1" applyBorder="1" applyAlignment="1">
      <alignment vertical="center" wrapText="1"/>
    </xf>
    <xf numFmtId="0" fontId="12" fillId="5" borderId="133" xfId="0" applyFont="1" applyFill="1" applyBorder="1" applyAlignment="1">
      <alignment vertical="center" wrapText="1"/>
    </xf>
    <xf numFmtId="0" fontId="16" fillId="5" borderId="133" xfId="0" applyFont="1" applyFill="1" applyBorder="1" applyAlignment="1">
      <alignment horizontal="right" vertical="center" wrapText="1"/>
    </xf>
    <xf numFmtId="164" fontId="16" fillId="5" borderId="133" xfId="0" applyNumberFormat="1" applyFont="1" applyFill="1" applyBorder="1" applyAlignment="1">
      <alignment horizontal="right" vertical="center" wrapText="1" indent="1"/>
    </xf>
    <xf numFmtId="0" fontId="9" fillId="5" borderId="135" xfId="0" applyFont="1" applyFill="1" applyBorder="1" applyAlignment="1">
      <alignment vertical="center" wrapText="1"/>
    </xf>
    <xf numFmtId="164" fontId="9" fillId="5" borderId="105" xfId="0" applyNumberFormat="1" applyFont="1" applyFill="1" applyBorder="1" applyAlignment="1">
      <alignment horizontal="right" vertical="center" wrapText="1" indent="1"/>
    </xf>
    <xf numFmtId="164" fontId="9" fillId="5" borderId="135" xfId="0" applyNumberFormat="1" applyFont="1" applyFill="1" applyBorder="1" applyAlignment="1">
      <alignment horizontal="right" vertical="center" wrapText="1" indent="1"/>
    </xf>
    <xf numFmtId="164" fontId="9" fillId="5" borderId="136" xfId="0" applyNumberFormat="1" applyFont="1" applyFill="1" applyBorder="1" applyAlignment="1">
      <alignment horizontal="right" vertical="center" wrapText="1" indent="1"/>
    </xf>
    <xf numFmtId="165" fontId="9" fillId="5" borderId="135" xfId="0" applyNumberFormat="1" applyFont="1" applyFill="1" applyBorder="1" applyAlignment="1">
      <alignment horizontal="right" vertical="center" wrapText="1" indent="1"/>
    </xf>
    <xf numFmtId="0" fontId="9" fillId="5" borderId="106" xfId="0" applyFont="1" applyFill="1" applyBorder="1" applyAlignment="1">
      <alignment vertical="center" wrapText="1"/>
    </xf>
    <xf numFmtId="164" fontId="9" fillId="5" borderId="137" xfId="0" applyNumberFormat="1" applyFont="1" applyFill="1" applyBorder="1" applyAlignment="1">
      <alignment horizontal="right" vertical="center" wrapText="1" indent="1"/>
    </xf>
    <xf numFmtId="164" fontId="9" fillId="5" borderId="106" xfId="0" applyNumberFormat="1" applyFont="1" applyFill="1" applyBorder="1" applyAlignment="1">
      <alignment horizontal="right" vertical="center" wrapText="1" indent="1"/>
    </xf>
    <xf numFmtId="164" fontId="9" fillId="5" borderId="138" xfId="0" applyNumberFormat="1" applyFont="1" applyFill="1" applyBorder="1" applyAlignment="1">
      <alignment horizontal="right" vertical="center" wrapText="1" indent="1"/>
    </xf>
    <xf numFmtId="165" fontId="9" fillId="5" borderId="106" xfId="0" applyNumberFormat="1" applyFont="1" applyFill="1" applyBorder="1" applyAlignment="1">
      <alignment horizontal="right" vertical="center" wrapText="1" indent="1"/>
    </xf>
    <xf numFmtId="0" fontId="9" fillId="5" borderId="139" xfId="0" applyFont="1" applyFill="1" applyBorder="1" applyAlignment="1">
      <alignment vertical="center" wrapText="1"/>
    </xf>
    <xf numFmtId="164" fontId="9" fillId="5" borderId="140" xfId="0" applyNumberFormat="1" applyFont="1" applyFill="1" applyBorder="1" applyAlignment="1">
      <alignment horizontal="right" vertical="center" wrapText="1" indent="1"/>
    </xf>
    <xf numFmtId="164" fontId="9" fillId="5" borderId="139" xfId="0" applyNumberFormat="1" applyFont="1" applyFill="1" applyBorder="1" applyAlignment="1">
      <alignment horizontal="right" vertical="center" wrapText="1" indent="1"/>
    </xf>
    <xf numFmtId="164" fontId="9" fillId="5" borderId="141" xfId="0" applyNumberFormat="1" applyFont="1" applyFill="1" applyBorder="1" applyAlignment="1">
      <alignment horizontal="right" vertical="center" wrapText="1" indent="1"/>
    </xf>
    <xf numFmtId="165" fontId="9" fillId="5" borderId="139" xfId="0" applyNumberFormat="1" applyFont="1" applyFill="1" applyBorder="1" applyAlignment="1">
      <alignment horizontal="right" vertical="center" wrapText="1" indent="1"/>
    </xf>
    <xf numFmtId="165" fontId="10" fillId="5" borderId="21" xfId="0" applyNumberFormat="1" applyFont="1" applyFill="1" applyBorder="1" applyAlignment="1">
      <alignment horizontal="right" vertical="center" wrapText="1" indent="1"/>
    </xf>
    <xf numFmtId="0" fontId="9" fillId="5" borderId="118" xfId="0" applyFont="1" applyFill="1" applyBorder="1" applyAlignment="1">
      <alignment vertical="center" wrapText="1"/>
    </xf>
    <xf numFmtId="164" fontId="9" fillId="5" borderId="117" xfId="0" applyNumberFormat="1" applyFont="1" applyFill="1" applyBorder="1" applyAlignment="1">
      <alignment horizontal="right" vertical="center" wrapText="1" indent="1"/>
    </xf>
    <xf numFmtId="164" fontId="9" fillId="5" borderId="118" xfId="0" applyNumberFormat="1" applyFont="1" applyFill="1" applyBorder="1" applyAlignment="1">
      <alignment horizontal="right" vertical="center" wrapText="1" indent="1"/>
    </xf>
    <xf numFmtId="164" fontId="9" fillId="5" borderId="142" xfId="0" applyNumberFormat="1" applyFont="1" applyFill="1" applyBorder="1" applyAlignment="1">
      <alignment horizontal="right" vertical="center" wrapText="1" indent="1"/>
    </xf>
    <xf numFmtId="165" fontId="9" fillId="5" borderId="118" xfId="0" applyNumberFormat="1" applyFont="1" applyFill="1" applyBorder="1" applyAlignment="1">
      <alignment horizontal="right" vertical="center" wrapText="1" indent="1"/>
    </xf>
    <xf numFmtId="164" fontId="10" fillId="5" borderId="63" xfId="0" applyNumberFormat="1" applyFont="1" applyFill="1" applyBorder="1" applyAlignment="1">
      <alignment horizontal="right" vertical="center" wrapText="1" indent="1"/>
    </xf>
    <xf numFmtId="164" fontId="10" fillId="5" borderId="14" xfId="0" applyNumberFormat="1" applyFont="1" applyFill="1" applyBorder="1" applyAlignment="1">
      <alignment horizontal="right" vertical="center" wrapText="1" indent="1"/>
    </xf>
    <xf numFmtId="164" fontId="10" fillId="5" borderId="13" xfId="0" applyNumberFormat="1" applyFont="1" applyFill="1" applyBorder="1" applyAlignment="1">
      <alignment horizontal="right" vertical="center" wrapText="1" indent="1"/>
    </xf>
    <xf numFmtId="165" fontId="10" fillId="5" borderId="14" xfId="0" applyNumberFormat="1" applyFont="1" applyFill="1" applyBorder="1" applyAlignment="1">
      <alignment horizontal="right" vertical="center" wrapText="1" indent="1"/>
    </xf>
    <xf numFmtId="0" fontId="17" fillId="5" borderId="0" xfId="0" applyFont="1" applyFill="1" applyAlignment="1">
      <alignment vertical="center" wrapText="1"/>
    </xf>
    <xf numFmtId="164" fontId="14" fillId="5" borderId="40" xfId="0" applyNumberFormat="1" applyFont="1" applyFill="1" applyBorder="1" applyAlignment="1">
      <alignment horizontal="right" vertical="center" wrapText="1"/>
    </xf>
    <xf numFmtId="3" fontId="14" fillId="3" borderId="0" xfId="0" applyNumberFormat="1" applyFont="1" applyFill="1" applyAlignment="1">
      <alignment horizontal="right" vertical="center" wrapText="1"/>
    </xf>
    <xf numFmtId="164" fontId="14" fillId="5" borderId="0" xfId="0" applyNumberFormat="1" applyFont="1" applyFill="1" applyAlignment="1">
      <alignment horizontal="right" vertical="center" wrapText="1"/>
    </xf>
    <xf numFmtId="3" fontId="14" fillId="5" borderId="0" xfId="0" applyNumberFormat="1" applyFont="1" applyFill="1" applyAlignment="1">
      <alignment horizontal="right" vertical="center" wrapText="1"/>
    </xf>
    <xf numFmtId="3" fontId="14" fillId="3" borderId="41" xfId="0" applyNumberFormat="1" applyFont="1" applyFill="1" applyBorder="1" applyAlignment="1">
      <alignment horizontal="right" vertical="center" wrapText="1"/>
    </xf>
    <xf numFmtId="164" fontId="18" fillId="5" borderId="40" xfId="0" applyNumberFormat="1" applyFont="1" applyFill="1" applyBorder="1" applyAlignment="1">
      <alignment horizontal="right" vertical="center" wrapText="1" indent="1"/>
    </xf>
    <xf numFmtId="164" fontId="14" fillId="3" borderId="0" xfId="0" applyNumberFormat="1" applyFont="1" applyFill="1" applyAlignment="1">
      <alignment horizontal="right" vertical="center" wrapText="1" indent="1"/>
    </xf>
    <xf numFmtId="164" fontId="18" fillId="5" borderId="0" xfId="0" applyNumberFormat="1" applyFont="1" applyFill="1" applyAlignment="1">
      <alignment horizontal="right" vertical="center" wrapText="1" indent="1"/>
    </xf>
    <xf numFmtId="164" fontId="14" fillId="3" borderId="41" xfId="0" applyNumberFormat="1" applyFont="1" applyFill="1" applyBorder="1" applyAlignment="1">
      <alignment horizontal="right" vertical="center" wrapText="1" indent="1"/>
    </xf>
    <xf numFmtId="3" fontId="14" fillId="5" borderId="0" xfId="0" applyNumberFormat="1" applyFont="1" applyFill="1" applyAlignment="1">
      <alignment horizontal="right" vertical="center" wrapText="1" indent="1"/>
    </xf>
    <xf numFmtId="164" fontId="14" fillId="5" borderId="40" xfId="0" applyNumberFormat="1" applyFont="1" applyFill="1" applyBorder="1" applyAlignment="1">
      <alignment horizontal="right" vertical="center" wrapText="1" indent="1"/>
    </xf>
    <xf numFmtId="164" fontId="14" fillId="5" borderId="0" xfId="2" applyNumberFormat="1" applyFont="1" applyFill="1" applyBorder="1" applyAlignment="1">
      <alignment horizontal="right" vertical="center" wrapText="1" indent="1"/>
    </xf>
    <xf numFmtId="0" fontId="17" fillId="5" borderId="42" xfId="0" applyFont="1" applyFill="1" applyBorder="1" applyAlignment="1">
      <alignment vertical="center" wrapText="1"/>
    </xf>
    <xf numFmtId="164" fontId="17" fillId="5" borderId="43" xfId="0" applyNumberFormat="1" applyFont="1" applyFill="1" applyBorder="1" applyAlignment="1">
      <alignment horizontal="right" vertical="center" wrapText="1" indent="1"/>
    </xf>
    <xf numFmtId="164" fontId="17" fillId="3" borderId="42" xfId="0" applyNumberFormat="1" applyFont="1" applyFill="1" applyBorder="1" applyAlignment="1">
      <alignment horizontal="right" vertical="center" wrapText="1" indent="1"/>
    </xf>
    <xf numFmtId="164" fontId="17" fillId="5" borderId="42" xfId="0" applyNumberFormat="1" applyFont="1" applyFill="1" applyBorder="1" applyAlignment="1">
      <alignment horizontal="right" vertical="center" wrapText="1" indent="1"/>
    </xf>
    <xf numFmtId="164" fontId="17" fillId="3" borderId="44" xfId="0" applyNumberFormat="1" applyFont="1" applyFill="1" applyBorder="1" applyAlignment="1">
      <alignment horizontal="right" vertical="center" wrapText="1" indent="1"/>
    </xf>
    <xf numFmtId="3" fontId="17" fillId="5" borderId="42" xfId="0" applyNumberFormat="1" applyFont="1" applyFill="1" applyBorder="1" applyAlignment="1">
      <alignment horizontal="right" vertical="center" wrapText="1" indent="1"/>
    </xf>
    <xf numFmtId="164" fontId="17" fillId="5" borderId="40" xfId="0" applyNumberFormat="1" applyFont="1" applyFill="1" applyBorder="1" applyAlignment="1">
      <alignment horizontal="right" vertical="center" wrapText="1" indent="1"/>
    </xf>
    <xf numFmtId="164" fontId="17" fillId="5" borderId="0" xfId="0" applyNumberFormat="1" applyFont="1" applyFill="1" applyAlignment="1">
      <alignment horizontal="right" vertical="center" wrapText="1" indent="1"/>
    </xf>
    <xf numFmtId="0" fontId="17" fillId="5" borderId="45" xfId="0" applyFont="1" applyFill="1" applyBorder="1" applyAlignment="1">
      <alignment vertical="center" wrapText="1"/>
    </xf>
    <xf numFmtId="164" fontId="17" fillId="5" borderId="46" xfId="2" applyNumberFormat="1" applyFont="1" applyFill="1" applyBorder="1" applyAlignment="1">
      <alignment horizontal="right" vertical="center" wrapText="1" indent="1"/>
    </xf>
    <xf numFmtId="3" fontId="17" fillId="3" borderId="45" xfId="2" applyNumberFormat="1" applyFont="1" applyFill="1" applyBorder="1" applyAlignment="1">
      <alignment horizontal="right" vertical="center" wrapText="1" indent="1"/>
    </xf>
    <xf numFmtId="164" fontId="17" fillId="5" borderId="45" xfId="2" applyNumberFormat="1" applyFont="1" applyFill="1" applyBorder="1" applyAlignment="1">
      <alignment horizontal="right" vertical="center" wrapText="1" indent="1"/>
    </xf>
    <xf numFmtId="3" fontId="17" fillId="3" borderId="47" xfId="2" applyNumberFormat="1" applyFont="1" applyFill="1" applyBorder="1" applyAlignment="1">
      <alignment horizontal="right" vertical="center" wrapText="1" indent="1"/>
    </xf>
    <xf numFmtId="1" fontId="17" fillId="5" borderId="45" xfId="0" applyNumberFormat="1" applyFont="1" applyFill="1" applyBorder="1" applyAlignment="1">
      <alignment horizontal="right" vertical="center" wrapText="1" indent="1"/>
    </xf>
    <xf numFmtId="165" fontId="9" fillId="3" borderId="49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164" fontId="73" fillId="5" borderId="56" xfId="0" applyNumberFormat="1" applyFont="1" applyFill="1" applyBorder="1" applyAlignment="1">
      <alignment horizontal="right" vertical="center" wrapText="1"/>
    </xf>
    <xf numFmtId="3" fontId="73" fillId="5" borderId="0" xfId="0" applyNumberFormat="1" applyFont="1" applyFill="1" applyAlignment="1">
      <alignment horizontal="right" vertical="center" wrapText="1"/>
    </xf>
    <xf numFmtId="164" fontId="73" fillId="5" borderId="0" xfId="0" applyNumberFormat="1" applyFont="1" applyFill="1" applyAlignment="1">
      <alignment horizontal="right" vertical="center" wrapText="1"/>
    </xf>
    <xf numFmtId="49" fontId="10" fillId="0" borderId="27" xfId="0" applyNumberFormat="1" applyFont="1" applyBorder="1" applyAlignment="1">
      <alignment horizontal="right" vertical="center" wrapText="1" indent="1"/>
    </xf>
    <xf numFmtId="0" fontId="68" fillId="0" borderId="143" xfId="0" applyFont="1" applyBorder="1" applyAlignment="1">
      <alignment vertical="center" wrapText="1"/>
    </xf>
    <xf numFmtId="0" fontId="67" fillId="0" borderId="144" xfId="0" applyFont="1" applyBorder="1" applyAlignment="1">
      <alignment vertical="center"/>
    </xf>
    <xf numFmtId="4" fontId="2" fillId="5" borderId="20" xfId="3" applyNumberFormat="1" applyFont="1" applyFill="1" applyBorder="1" applyAlignment="1">
      <alignment horizontal="right" vertical="center" wrapText="1" indent="1"/>
    </xf>
    <xf numFmtId="4" fontId="2" fillId="5" borderId="0" xfId="3" applyNumberFormat="1" applyFont="1" applyFill="1" applyAlignment="1">
      <alignment horizontal="right" vertical="center" wrapText="1" indent="1"/>
    </xf>
    <xf numFmtId="4" fontId="2" fillId="5" borderId="12" xfId="3" applyNumberFormat="1" applyFont="1" applyFill="1" applyBorder="1" applyAlignment="1">
      <alignment horizontal="right" vertical="center" wrapText="1" indent="1"/>
    </xf>
    <xf numFmtId="4" fontId="2" fillId="5" borderId="19" xfId="3" applyNumberFormat="1" applyFont="1" applyFill="1" applyBorder="1" applyAlignment="1">
      <alignment horizontal="right" vertical="center" wrapText="1" indent="1"/>
    </xf>
    <xf numFmtId="4" fontId="2" fillId="5" borderId="11" xfId="3" applyNumberFormat="1" applyFont="1" applyFill="1" applyBorder="1" applyAlignment="1">
      <alignment horizontal="right" vertical="center" wrapText="1" indent="1"/>
    </xf>
    <xf numFmtId="4" fontId="2" fillId="5" borderId="10" xfId="3" applyNumberFormat="1" applyFont="1" applyFill="1" applyBorder="1" applyAlignment="1">
      <alignment horizontal="right" vertical="center" wrapText="1" indent="1"/>
    </xf>
    <xf numFmtId="4" fontId="22" fillId="5" borderId="20" xfId="3" applyNumberFormat="1" applyFont="1" applyFill="1" applyBorder="1" applyAlignment="1">
      <alignment horizontal="right" vertical="center" wrapText="1" indent="1"/>
    </xf>
    <xf numFmtId="4" fontId="22" fillId="5" borderId="0" xfId="3" applyNumberFormat="1" applyFont="1" applyFill="1" applyAlignment="1">
      <alignment horizontal="right" vertical="center" wrapText="1" indent="1"/>
    </xf>
    <xf numFmtId="4" fontId="22" fillId="5" borderId="12" xfId="3" applyNumberFormat="1" applyFont="1" applyFill="1" applyBorder="1" applyAlignment="1">
      <alignment horizontal="right" vertical="center" wrapText="1" indent="1"/>
    </xf>
    <xf numFmtId="4" fontId="22" fillId="5" borderId="22" xfId="3" applyNumberFormat="1" applyFont="1" applyFill="1" applyBorder="1" applyAlignment="1">
      <alignment horizontal="right" vertical="center" wrapText="1" indent="1"/>
    </xf>
    <xf numFmtId="4" fontId="22" fillId="5" borderId="21" xfId="3" applyNumberFormat="1" applyFont="1" applyFill="1" applyBorder="1" applyAlignment="1">
      <alignment horizontal="right" vertical="center" wrapText="1" indent="1"/>
    </xf>
    <xf numFmtId="4" fontId="22" fillId="5" borderId="23" xfId="3" applyNumberFormat="1" applyFont="1" applyFill="1" applyBorder="1" applyAlignment="1">
      <alignment horizontal="right" vertical="center" wrapText="1" indent="1"/>
    </xf>
    <xf numFmtId="4" fontId="5" fillId="5" borderId="20" xfId="3" applyNumberFormat="1" applyFont="1" applyFill="1" applyBorder="1" applyAlignment="1">
      <alignment horizontal="right" vertical="center" wrapText="1" indent="1"/>
    </xf>
    <xf numFmtId="4" fontId="5" fillId="5" borderId="0" xfId="3" applyNumberFormat="1" applyFont="1" applyFill="1" applyAlignment="1">
      <alignment horizontal="right" vertical="center" wrapText="1" indent="1"/>
    </xf>
    <xf numFmtId="4" fontId="5" fillId="5" borderId="12" xfId="3" applyNumberFormat="1" applyFont="1" applyFill="1" applyBorder="1" applyAlignment="1">
      <alignment horizontal="right" vertical="center" wrapText="1" indent="1"/>
    </xf>
    <xf numFmtId="4" fontId="21" fillId="5" borderId="22" xfId="3" applyNumberFormat="1" applyFont="1" applyFill="1" applyBorder="1" applyAlignment="1">
      <alignment horizontal="right" vertical="center" wrapText="1" indent="1"/>
    </xf>
    <xf numFmtId="4" fontId="21" fillId="5" borderId="21" xfId="3" applyNumberFormat="1" applyFont="1" applyFill="1" applyBorder="1" applyAlignment="1">
      <alignment horizontal="right" vertical="center" wrapText="1" indent="1"/>
    </xf>
    <xf numFmtId="4" fontId="21" fillId="5" borderId="23" xfId="3" applyNumberFormat="1" applyFont="1" applyFill="1" applyBorder="1" applyAlignment="1">
      <alignment horizontal="right" vertical="center" wrapText="1" indent="1"/>
    </xf>
    <xf numFmtId="4" fontId="21" fillId="5" borderId="20" xfId="3" applyNumberFormat="1" applyFont="1" applyFill="1" applyBorder="1" applyAlignment="1">
      <alignment horizontal="right" vertical="center" wrapText="1" indent="1"/>
    </xf>
    <xf numFmtId="4" fontId="21" fillId="5" borderId="0" xfId="3" applyNumberFormat="1" applyFont="1" applyFill="1" applyAlignment="1">
      <alignment horizontal="right" vertical="center" wrapText="1" indent="1"/>
    </xf>
    <xf numFmtId="4" fontId="21" fillId="5" borderId="12" xfId="3" applyNumberFormat="1" applyFont="1" applyFill="1" applyBorder="1" applyAlignment="1">
      <alignment horizontal="right" vertical="center" wrapText="1" indent="1"/>
    </xf>
    <xf numFmtId="4" fontId="5" fillId="5" borderId="19" xfId="3" applyNumberFormat="1" applyFont="1" applyFill="1" applyBorder="1" applyAlignment="1">
      <alignment horizontal="right" vertical="center" wrapText="1" indent="1"/>
    </xf>
    <xf numFmtId="4" fontId="5" fillId="5" borderId="11" xfId="3" applyNumberFormat="1" applyFont="1" applyFill="1" applyBorder="1" applyAlignment="1">
      <alignment horizontal="right" vertical="center" wrapText="1" indent="1"/>
    </xf>
    <xf numFmtId="4" fontId="5" fillId="5" borderId="10" xfId="3" applyNumberFormat="1" applyFont="1" applyFill="1" applyBorder="1" applyAlignment="1">
      <alignment horizontal="right" vertical="center" wrapText="1" indent="1"/>
    </xf>
    <xf numFmtId="4" fontId="5" fillId="5" borderId="33" xfId="3" applyNumberFormat="1" applyFont="1" applyFill="1" applyBorder="1" applyAlignment="1">
      <alignment horizontal="right" vertical="center" wrapText="1" indent="1"/>
    </xf>
    <xf numFmtId="4" fontId="5" fillId="5" borderId="16" xfId="3" applyNumberFormat="1" applyFont="1" applyFill="1" applyBorder="1" applyAlignment="1">
      <alignment horizontal="right" vertical="center" wrapText="1" indent="1"/>
    </xf>
    <xf numFmtId="4" fontId="5" fillId="5" borderId="15" xfId="3" applyNumberFormat="1" applyFont="1" applyFill="1" applyBorder="1" applyAlignment="1">
      <alignment horizontal="right" vertical="center" wrapText="1" indent="1"/>
    </xf>
    <xf numFmtId="49" fontId="22" fillId="0" borderId="0" xfId="0" applyNumberFormat="1" applyFont="1" applyAlignment="1">
      <alignment horizontal="right" vertical="center"/>
    </xf>
    <xf numFmtId="14" fontId="18" fillId="5" borderId="145" xfId="7" applyNumberFormat="1" applyFont="1" applyFill="1" applyBorder="1" applyAlignment="1">
      <alignment horizontal="center" vertical="center" wrapText="1"/>
    </xf>
    <xf numFmtId="0" fontId="18" fillId="5" borderId="146" xfId="7" applyFont="1" applyFill="1" applyBorder="1" applyAlignment="1">
      <alignment horizontal="center" vertical="center" wrapText="1"/>
    </xf>
    <xf numFmtId="0" fontId="18" fillId="5" borderId="147" xfId="7" applyFont="1" applyFill="1" applyBorder="1" applyAlignment="1">
      <alignment horizontal="center" vertical="center" wrapText="1"/>
    </xf>
    <xf numFmtId="14" fontId="18" fillId="5" borderId="146" xfId="7" applyNumberFormat="1" applyFont="1" applyFill="1" applyBorder="1" applyAlignment="1">
      <alignment horizontal="center" vertical="center" wrapText="1"/>
    </xf>
    <xf numFmtId="3" fontId="17" fillId="5" borderId="21" xfId="0" applyNumberFormat="1" applyFont="1" applyFill="1" applyBorder="1" applyAlignment="1">
      <alignment horizontal="right" vertical="center" wrapText="1" indent="1"/>
    </xf>
    <xf numFmtId="164" fontId="2" fillId="5" borderId="0" xfId="0" applyNumberFormat="1" applyFont="1" applyFill="1" applyAlignment="1">
      <alignment horizontal="right" vertical="center" wrapText="1" indent="1"/>
    </xf>
    <xf numFmtId="14" fontId="14" fillId="5" borderId="0" xfId="0" applyNumberFormat="1" applyFont="1" applyFill="1" applyAlignment="1">
      <alignment horizontal="center" vertical="center" wrapText="1"/>
    </xf>
    <xf numFmtId="3" fontId="14" fillId="5" borderId="20" xfId="0" applyNumberFormat="1" applyFont="1" applyFill="1" applyBorder="1" applyAlignment="1">
      <alignment horizontal="right" vertical="center" wrapText="1" indent="1"/>
    </xf>
    <xf numFmtId="164" fontId="14" fillId="5" borderId="12" xfId="0" applyNumberFormat="1" applyFont="1" applyFill="1" applyBorder="1" applyAlignment="1">
      <alignment horizontal="right" vertical="center" wrapText="1" indent="1"/>
    </xf>
    <xf numFmtId="0" fontId="17" fillId="5" borderId="21" xfId="0" applyFont="1" applyFill="1" applyBorder="1" applyAlignment="1">
      <alignment horizontal="right" vertical="center" wrapText="1" indent="1"/>
    </xf>
    <xf numFmtId="3" fontId="17" fillId="5" borderId="22" xfId="0" applyNumberFormat="1" applyFont="1" applyFill="1" applyBorder="1" applyAlignment="1">
      <alignment horizontal="right" vertical="center" wrapText="1" indent="1"/>
    </xf>
    <xf numFmtId="164" fontId="17" fillId="5" borderId="23" xfId="0" applyNumberFormat="1" applyFont="1" applyFill="1" applyBorder="1" applyAlignment="1">
      <alignment horizontal="right" vertical="center" wrapText="1" indent="1"/>
    </xf>
    <xf numFmtId="3" fontId="16" fillId="5" borderId="134" xfId="0" applyNumberFormat="1" applyFont="1" applyFill="1" applyBorder="1" applyAlignment="1">
      <alignment horizontal="right" vertical="center" wrapText="1"/>
    </xf>
    <xf numFmtId="164" fontId="9" fillId="3" borderId="12" xfId="0" applyNumberFormat="1" applyFont="1" applyFill="1" applyBorder="1" applyAlignment="1">
      <alignment horizontal="right" vertical="center" wrapText="1" indent="1"/>
    </xf>
    <xf numFmtId="3" fontId="10" fillId="3" borderId="23" xfId="0" applyNumberFormat="1" applyFont="1" applyFill="1" applyBorder="1" applyAlignment="1">
      <alignment horizontal="right" vertical="center" wrapText="1" indent="1"/>
    </xf>
    <xf numFmtId="3" fontId="73" fillId="3" borderId="0" xfId="0" applyNumberFormat="1" applyFont="1" applyFill="1" applyAlignment="1">
      <alignment horizontal="right" vertical="center" wrapText="1"/>
    </xf>
    <xf numFmtId="3" fontId="73" fillId="3" borderId="49" xfId="0" applyNumberFormat="1" applyFont="1" applyFill="1" applyBorder="1" applyAlignment="1">
      <alignment horizontal="right" vertical="center" wrapText="1"/>
    </xf>
    <xf numFmtId="165" fontId="9" fillId="3" borderId="41" xfId="0" applyNumberFormat="1" applyFont="1" applyFill="1" applyBorder="1" applyAlignment="1">
      <alignment horizontal="right" vertical="center" wrapText="1"/>
    </xf>
    <xf numFmtId="1" fontId="10" fillId="3" borderId="47" xfId="0" applyNumberFormat="1" applyFont="1" applyFill="1" applyBorder="1" applyAlignment="1">
      <alignment vertical="center" wrapText="1"/>
    </xf>
    <xf numFmtId="165" fontId="9" fillId="3" borderId="3" xfId="0" applyNumberFormat="1" applyFont="1" applyFill="1" applyBorder="1" applyAlignment="1">
      <alignment horizontal="right" vertical="center" wrapText="1"/>
    </xf>
    <xf numFmtId="1" fontId="10" fillId="3" borderId="62" xfId="0" applyNumberFormat="1" applyFont="1" applyFill="1" applyBorder="1" applyAlignment="1">
      <alignment vertical="center" wrapText="1"/>
    </xf>
    <xf numFmtId="0" fontId="28" fillId="0" borderId="6" xfId="29" applyFont="1" applyBorder="1"/>
    <xf numFmtId="49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left" vertical="center"/>
    </xf>
    <xf numFmtId="164" fontId="10" fillId="5" borderId="152" xfId="0" applyNumberFormat="1" applyFont="1" applyFill="1" applyBorder="1" applyAlignment="1">
      <alignment horizontal="right" vertical="top" wrapText="1" indent="1"/>
    </xf>
    <xf numFmtId="49" fontId="2" fillId="0" borderId="156" xfId="0" applyNumberFormat="1" applyFont="1" applyBorder="1" applyAlignment="1">
      <alignment horizontal="center" vertical="center"/>
    </xf>
    <xf numFmtId="49" fontId="2" fillId="0" borderId="156" xfId="0" applyNumberFormat="1" applyFont="1" applyBorder="1" applyAlignment="1">
      <alignment horizontal="center"/>
    </xf>
    <xf numFmtId="49" fontId="2" fillId="9" borderId="156" xfId="0" applyNumberFormat="1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right" vertical="center" wrapText="1" indent="1"/>
    </xf>
    <xf numFmtId="0" fontId="10" fillId="5" borderId="11" xfId="0" applyFont="1" applyFill="1" applyBorder="1" applyAlignment="1">
      <alignment horizontal="right" vertical="center" wrapText="1" indent="1"/>
    </xf>
    <xf numFmtId="49" fontId="2" fillId="0" borderId="155" xfId="0" applyNumberFormat="1" applyFont="1" applyBorder="1" applyAlignment="1">
      <alignment horizontal="center" vertical="center"/>
    </xf>
    <xf numFmtId="4" fontId="2" fillId="0" borderId="153" xfId="0" applyNumberFormat="1" applyFont="1" applyBorder="1" applyAlignment="1">
      <alignment horizontal="right" vertical="center"/>
    </xf>
    <xf numFmtId="4" fontId="2" fillId="0" borderId="154" xfId="0" applyNumberFormat="1" applyFont="1" applyBorder="1" applyAlignment="1">
      <alignment horizontal="right" vertical="center"/>
    </xf>
    <xf numFmtId="4" fontId="2" fillId="9" borderId="154" xfId="0" applyNumberFormat="1" applyFont="1" applyFill="1" applyBorder="1" applyAlignment="1">
      <alignment horizontal="right" vertical="center"/>
    </xf>
    <xf numFmtId="164" fontId="10" fillId="5" borderId="14" xfId="2" applyNumberFormat="1" applyFont="1" applyFill="1" applyBorder="1" applyAlignment="1">
      <alignment horizontal="right" vertical="center" wrapText="1" indent="1"/>
    </xf>
    <xf numFmtId="164" fontId="10" fillId="5" borderId="21" xfId="2" applyNumberFormat="1" applyFont="1" applyFill="1" applyBorder="1" applyAlignment="1">
      <alignment horizontal="right" vertical="center" wrapText="1" indent="1"/>
    </xf>
    <xf numFmtId="165" fontId="10" fillId="3" borderId="13" xfId="0" applyNumberFormat="1" applyFont="1" applyFill="1" applyBorder="1" applyAlignment="1">
      <alignment horizontal="right" vertical="center" wrapText="1" indent="1"/>
    </xf>
    <xf numFmtId="3" fontId="9" fillId="5" borderId="14" xfId="0" applyNumberFormat="1" applyFont="1" applyFill="1" applyBorder="1" applyAlignment="1">
      <alignment horizontal="right" vertical="center" wrapText="1" indent="1"/>
    </xf>
    <xf numFmtId="165" fontId="10" fillId="3" borderId="49" xfId="0" applyNumberFormat="1" applyFont="1" applyFill="1" applyBorder="1" applyAlignment="1">
      <alignment horizontal="right" vertical="center" wrapText="1"/>
    </xf>
    <xf numFmtId="0" fontId="33" fillId="2" borderId="0" xfId="0" applyFont="1" applyFill="1" applyAlignment="1">
      <alignment horizontal="left" vertical="center" wrapText="1"/>
    </xf>
    <xf numFmtId="0" fontId="9" fillId="5" borderId="41" xfId="0" applyFont="1" applyFill="1" applyBorder="1" applyAlignment="1">
      <alignment vertical="center" wrapText="1"/>
    </xf>
    <xf numFmtId="164" fontId="10" fillId="5" borderId="166" xfId="0" applyNumberFormat="1" applyFont="1" applyFill="1" applyBorder="1" applyAlignment="1">
      <alignment horizontal="right" vertical="center" wrapText="1" indent="1"/>
    </xf>
    <xf numFmtId="0" fontId="9" fillId="5" borderId="36" xfId="0" applyFont="1" applyFill="1" applyBorder="1" applyAlignment="1">
      <alignment horizontal="left" vertical="center" wrapText="1" indent="1"/>
    </xf>
    <xf numFmtId="3" fontId="10" fillId="5" borderId="165" xfId="0" applyNumberFormat="1" applyFont="1" applyFill="1" applyBorder="1" applyAlignment="1">
      <alignment horizontal="right" vertical="center" wrapText="1" indent="1"/>
    </xf>
    <xf numFmtId="0" fontId="10" fillId="5" borderId="165" xfId="0" applyFont="1" applyFill="1" applyBorder="1" applyAlignment="1">
      <alignment vertical="center" wrapText="1"/>
    </xf>
    <xf numFmtId="165" fontId="10" fillId="3" borderId="164" xfId="0" applyNumberFormat="1" applyFont="1" applyFill="1" applyBorder="1" applyAlignment="1">
      <alignment horizontal="right" vertical="center" wrapText="1" indent="1"/>
    </xf>
    <xf numFmtId="0" fontId="10" fillId="5" borderId="42" xfId="0" applyFont="1" applyFill="1" applyBorder="1" applyAlignment="1">
      <alignment vertical="center" wrapText="1"/>
    </xf>
    <xf numFmtId="164" fontId="10" fillId="5" borderId="46" xfId="0" applyNumberFormat="1" applyFont="1" applyFill="1" applyBorder="1" applyAlignment="1">
      <alignment horizontal="right" vertical="center" wrapText="1"/>
    </xf>
    <xf numFmtId="0" fontId="52" fillId="7" borderId="0" xfId="0" applyFont="1" applyFill="1" applyAlignment="1">
      <alignment vertical="center" wrapText="1"/>
    </xf>
    <xf numFmtId="165" fontId="9" fillId="3" borderId="49" xfId="0" applyNumberFormat="1" applyFont="1" applyFill="1" applyBorder="1" applyAlignment="1">
      <alignment horizontal="right" vertical="center" wrapText="1" indent="1"/>
    </xf>
    <xf numFmtId="164" fontId="9" fillId="5" borderId="56" xfId="0" applyNumberFormat="1" applyFont="1" applyFill="1" applyBorder="1" applyAlignment="1">
      <alignment horizontal="right" vertical="center" wrapText="1" indent="1"/>
    </xf>
    <xf numFmtId="165" fontId="9" fillId="3" borderId="163" xfId="0" applyNumberFormat="1" applyFont="1" applyFill="1" applyBorder="1" applyAlignment="1">
      <alignment horizontal="right" vertical="center" wrapText="1" indent="1"/>
    </xf>
    <xf numFmtId="3" fontId="9" fillId="5" borderId="55" xfId="0" applyNumberFormat="1" applyFont="1" applyFill="1" applyBorder="1" applyAlignment="1">
      <alignment horizontal="right" vertical="center" wrapText="1" indent="1"/>
    </xf>
    <xf numFmtId="164" fontId="9" fillId="5" borderId="162" xfId="0" applyNumberFormat="1" applyFont="1" applyFill="1" applyBorder="1" applyAlignment="1">
      <alignment horizontal="right" vertical="center" wrapText="1" indent="1"/>
    </xf>
    <xf numFmtId="3" fontId="9" fillId="5" borderId="160" xfId="0" applyNumberFormat="1" applyFont="1" applyFill="1" applyBorder="1" applyAlignment="1">
      <alignment horizontal="right" vertical="center" wrapText="1" indent="1"/>
    </xf>
    <xf numFmtId="164" fontId="9" fillId="5" borderId="160" xfId="0" applyNumberFormat="1" applyFont="1" applyFill="1" applyBorder="1" applyAlignment="1">
      <alignment horizontal="right" vertical="center" wrapText="1" indent="1"/>
    </xf>
    <xf numFmtId="164" fontId="12" fillId="5" borderId="40" xfId="0" applyNumberFormat="1" applyFont="1" applyFill="1" applyBorder="1" applyAlignment="1">
      <alignment horizontal="right" vertical="center" wrapText="1"/>
    </xf>
    <xf numFmtId="164" fontId="10" fillId="5" borderId="40" xfId="0" applyNumberFormat="1" applyFont="1" applyFill="1" applyBorder="1" applyAlignment="1">
      <alignment horizontal="right" vertical="center" wrapText="1"/>
    </xf>
    <xf numFmtId="0" fontId="10" fillId="5" borderId="43" xfId="0" applyFont="1" applyFill="1" applyBorder="1" applyAlignment="1">
      <alignment horizontal="right" vertical="center" wrapText="1"/>
    </xf>
    <xf numFmtId="0" fontId="10" fillId="5" borderId="44" xfId="0" applyFont="1" applyFill="1" applyBorder="1" applyAlignment="1">
      <alignment horizontal="right" vertical="center" wrapText="1"/>
    </xf>
    <xf numFmtId="3" fontId="9" fillId="5" borderId="42" xfId="0" applyNumberFormat="1" applyFont="1" applyFill="1" applyBorder="1" applyAlignment="1">
      <alignment horizontal="right" vertical="center" wrapText="1"/>
    </xf>
    <xf numFmtId="164" fontId="9" fillId="5" borderId="43" xfId="0" applyNumberFormat="1" applyFont="1" applyFill="1" applyBorder="1" applyAlignment="1">
      <alignment horizontal="right" vertical="center" wrapText="1"/>
    </xf>
    <xf numFmtId="164" fontId="12" fillId="5" borderId="43" xfId="0" applyNumberFormat="1" applyFont="1" applyFill="1" applyBorder="1" applyAlignment="1">
      <alignment horizontal="right" vertical="center" wrapText="1"/>
    </xf>
    <xf numFmtId="0" fontId="2" fillId="5" borderId="168" xfId="6" applyFont="1" applyFill="1" applyBorder="1"/>
    <xf numFmtId="49" fontId="21" fillId="5" borderId="169" xfId="0" applyNumberFormat="1" applyFont="1" applyFill="1" applyBorder="1" applyAlignment="1">
      <alignment horizontal="center" vertical="center" wrapText="1"/>
    </xf>
    <xf numFmtId="0" fontId="12" fillId="0" borderId="0" xfId="6" applyFont="1"/>
    <xf numFmtId="3" fontId="12" fillId="0" borderId="170" xfId="6" applyNumberFormat="1" applyFont="1" applyBorder="1"/>
    <xf numFmtId="3" fontId="12" fillId="0" borderId="0" xfId="6" applyNumberFormat="1" applyFont="1" applyAlignment="1">
      <alignment horizontal="right"/>
    </xf>
    <xf numFmtId="164" fontId="12" fillId="0" borderId="170" xfId="6" applyNumberFormat="1" applyFont="1" applyBorder="1"/>
    <xf numFmtId="0" fontId="12" fillId="0" borderId="0" xfId="6" quotePrefix="1" applyFont="1"/>
    <xf numFmtId="0" fontId="22" fillId="0" borderId="0" xfId="0" applyFont="1" applyAlignment="1">
      <alignment vertical="center"/>
    </xf>
    <xf numFmtId="164" fontId="16" fillId="0" borderId="170" xfId="6" applyNumberFormat="1" applyFont="1" applyBorder="1"/>
    <xf numFmtId="0" fontId="58" fillId="0" borderId="0" xfId="6" applyFont="1"/>
    <xf numFmtId="0" fontId="16" fillId="0" borderId="0" xfId="6" applyFont="1"/>
    <xf numFmtId="3" fontId="12" fillId="0" borderId="170" xfId="4" applyNumberFormat="1" applyFont="1" applyFill="1" applyBorder="1"/>
    <xf numFmtId="3" fontId="12" fillId="0" borderId="0" xfId="4" applyNumberFormat="1" applyFont="1" applyFill="1" applyBorder="1" applyAlignment="1">
      <alignment horizontal="right"/>
    </xf>
    <xf numFmtId="0" fontId="2" fillId="0" borderId="90" xfId="0" applyFont="1" applyBorder="1" applyAlignment="1">
      <alignment vertical="center"/>
    </xf>
    <xf numFmtId="164" fontId="12" fillId="0" borderId="171" xfId="6" applyNumberFormat="1" applyFont="1" applyBorder="1"/>
    <xf numFmtId="3" fontId="12" fillId="0" borderId="171" xfId="6" applyNumberFormat="1" applyFont="1" applyBorder="1" applyAlignment="1">
      <alignment horizontal="right"/>
    </xf>
    <xf numFmtId="49" fontId="21" fillId="5" borderId="172" xfId="0" applyNumberFormat="1" applyFont="1" applyFill="1" applyBorder="1" applyAlignment="1">
      <alignment horizontal="center" vertical="center" wrapText="1"/>
    </xf>
    <xf numFmtId="49" fontId="21" fillId="5" borderId="167" xfId="0" applyNumberFormat="1" applyFont="1" applyFill="1" applyBorder="1" applyAlignment="1">
      <alignment horizontal="center" vertical="center" wrapText="1"/>
    </xf>
    <xf numFmtId="164" fontId="5" fillId="5" borderId="40" xfId="0" applyNumberFormat="1" applyFont="1" applyFill="1" applyBorder="1" applyAlignment="1">
      <alignment horizontal="right" vertical="center" wrapText="1" indent="1"/>
    </xf>
    <xf numFmtId="164" fontId="2" fillId="5" borderId="41" xfId="0" applyNumberFormat="1" applyFont="1" applyFill="1" applyBorder="1" applyAlignment="1">
      <alignment horizontal="right" vertical="center" wrapText="1" indent="1"/>
    </xf>
    <xf numFmtId="164" fontId="5" fillId="5" borderId="41" xfId="0" applyNumberFormat="1" applyFont="1" applyFill="1" applyBorder="1" applyAlignment="1">
      <alignment horizontal="right" vertical="center" wrapText="1" indent="1"/>
    </xf>
    <xf numFmtId="0" fontId="21" fillId="5" borderId="45" xfId="0" applyFont="1" applyFill="1" applyBorder="1" applyAlignment="1">
      <alignment vertical="center" wrapText="1"/>
    </xf>
    <xf numFmtId="164" fontId="21" fillId="5" borderId="46" xfId="2" applyNumberFormat="1" applyFont="1" applyFill="1" applyBorder="1" applyAlignment="1">
      <alignment horizontal="right" vertical="center" wrapText="1" indent="1"/>
    </xf>
    <xf numFmtId="164" fontId="21" fillId="5" borderId="45" xfId="2" applyNumberFormat="1" applyFont="1" applyFill="1" applyBorder="1" applyAlignment="1">
      <alignment horizontal="right" vertical="center" wrapText="1" indent="1"/>
    </xf>
    <xf numFmtId="164" fontId="21" fillId="5" borderId="47" xfId="2" applyNumberFormat="1" applyFont="1" applyFill="1" applyBorder="1" applyAlignment="1">
      <alignment horizontal="right" vertical="center" wrapText="1" indent="1"/>
    </xf>
    <xf numFmtId="3" fontId="21" fillId="5" borderId="45" xfId="0" applyNumberFormat="1" applyFont="1" applyFill="1" applyBorder="1" applyAlignment="1">
      <alignment horizontal="right" vertical="center" wrapText="1" indent="1"/>
    </xf>
    <xf numFmtId="49" fontId="21" fillId="5" borderId="173" xfId="0" applyNumberFormat="1" applyFont="1" applyFill="1" applyBorder="1" applyAlignment="1">
      <alignment horizontal="center" vertical="center" wrapText="1"/>
    </xf>
    <xf numFmtId="3" fontId="75" fillId="0" borderId="174" xfId="4" applyNumberFormat="1" applyFont="1" applyFill="1" applyBorder="1"/>
    <xf numFmtId="3" fontId="75" fillId="0" borderId="174" xfId="6" applyNumberFormat="1" applyFont="1" applyBorder="1"/>
    <xf numFmtId="164" fontId="75" fillId="0" borderId="174" xfId="2" applyNumberFormat="1" applyFont="1" applyBorder="1" applyAlignment="1">
      <alignment horizontal="right" vertical="center"/>
    </xf>
    <xf numFmtId="164" fontId="76" fillId="0" borderId="174" xfId="2" applyNumberFormat="1" applyFont="1" applyBorder="1"/>
    <xf numFmtId="164" fontId="75" fillId="0" borderId="174" xfId="6" applyNumberFormat="1" applyFont="1" applyBorder="1"/>
    <xf numFmtId="164" fontId="76" fillId="0" borderId="174" xfId="6" applyNumberFormat="1" applyFont="1" applyBorder="1"/>
    <xf numFmtId="164" fontId="75" fillId="0" borderId="175" xfId="6" applyNumberFormat="1" applyFont="1" applyBorder="1"/>
    <xf numFmtId="0" fontId="7" fillId="5" borderId="0" xfId="0" applyFont="1" applyFill="1" applyAlignment="1">
      <alignment horizontal="center" vertical="center" wrapText="1"/>
    </xf>
    <xf numFmtId="0" fontId="22" fillId="5" borderId="36" xfId="0" applyFont="1" applyFill="1" applyBorder="1" applyAlignment="1">
      <alignment horizontal="center" vertical="center" wrapText="1"/>
    </xf>
    <xf numFmtId="0" fontId="10" fillId="6" borderId="42" xfId="0" applyFont="1" applyFill="1" applyBorder="1" applyAlignment="1">
      <alignment vertical="top" wrapText="1"/>
    </xf>
    <xf numFmtId="0" fontId="10" fillId="4" borderId="42" xfId="0" applyFont="1" applyFill="1" applyBorder="1" applyAlignment="1">
      <alignment vertical="top" wrapText="1"/>
    </xf>
    <xf numFmtId="0" fontId="22" fillId="5" borderId="37" xfId="0" applyFont="1" applyFill="1" applyBorder="1" applyAlignment="1">
      <alignment horizontal="center" vertical="center" wrapText="1"/>
    </xf>
    <xf numFmtId="0" fontId="22" fillId="5" borderId="38" xfId="0" applyFont="1" applyFill="1" applyBorder="1" applyAlignment="1">
      <alignment horizontal="center" vertical="center" wrapText="1"/>
    </xf>
    <xf numFmtId="0" fontId="7" fillId="5" borderId="40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horizontal="center" vertical="center" wrapText="1"/>
    </xf>
    <xf numFmtId="3" fontId="14" fillId="5" borderId="0" xfId="0" applyNumberFormat="1" applyFont="1" applyFill="1" applyAlignment="1">
      <alignment horizontal="center" vertical="center" wrapText="1"/>
    </xf>
    <xf numFmtId="3" fontId="10" fillId="6" borderId="42" xfId="0" applyNumberFormat="1" applyFont="1" applyFill="1" applyBorder="1" applyAlignment="1">
      <alignment horizontal="right" vertical="center" wrapText="1" indent="1"/>
    </xf>
    <xf numFmtId="3" fontId="10" fillId="4" borderId="42" xfId="0" applyNumberFormat="1" applyFont="1" applyFill="1" applyBorder="1" applyAlignment="1">
      <alignment horizontal="right" vertical="center" wrapText="1" indent="1"/>
    </xf>
    <xf numFmtId="0" fontId="5" fillId="5" borderId="0" xfId="0" applyFont="1" applyFill="1" applyAlignment="1">
      <alignment horizontal="left" vertical="center" wrapText="1" indent="2"/>
    </xf>
    <xf numFmtId="164" fontId="22" fillId="6" borderId="43" xfId="0" applyNumberFormat="1" applyFont="1" applyFill="1" applyBorder="1" applyAlignment="1">
      <alignment horizontal="right" vertical="center" wrapText="1" indent="1"/>
    </xf>
    <xf numFmtId="164" fontId="22" fillId="4" borderId="43" xfId="0" applyNumberFormat="1" applyFont="1" applyFill="1" applyBorder="1" applyAlignment="1">
      <alignment horizontal="right" vertical="center" wrapText="1" indent="1"/>
    </xf>
    <xf numFmtId="164" fontId="22" fillId="3" borderId="40" xfId="0" applyNumberFormat="1" applyFont="1" applyFill="1" applyBorder="1" applyAlignment="1">
      <alignment horizontal="right" vertical="center" wrapText="1" indent="1"/>
    </xf>
    <xf numFmtId="164" fontId="22" fillId="5" borderId="40" xfId="0" applyNumberFormat="1" applyFont="1" applyFill="1" applyBorder="1" applyAlignment="1">
      <alignment horizontal="right" vertical="center" wrapText="1" indent="1"/>
    </xf>
    <xf numFmtId="164" fontId="2" fillId="5" borderId="40" xfId="0" applyNumberFormat="1" applyFont="1" applyFill="1" applyBorder="1" applyAlignment="1">
      <alignment horizontal="right" vertical="center" wrapText="1" indent="1"/>
    </xf>
    <xf numFmtId="164" fontId="78" fillId="5" borderId="40" xfId="0" applyNumberFormat="1" applyFont="1" applyFill="1" applyBorder="1" applyAlignment="1">
      <alignment horizontal="right" vertical="center" wrapText="1" indent="1"/>
    </xf>
    <xf numFmtId="164" fontId="22" fillId="0" borderId="40" xfId="0" applyNumberFormat="1" applyFont="1" applyBorder="1" applyAlignment="1">
      <alignment horizontal="right" vertical="center" wrapText="1" indent="1"/>
    </xf>
    <xf numFmtId="164" fontId="2" fillId="0" borderId="98" xfId="0" applyNumberFormat="1" applyFont="1" applyBorder="1" applyAlignment="1">
      <alignment horizontal="right" vertical="center" wrapText="1" indent="1"/>
    </xf>
    <xf numFmtId="164" fontId="5" fillId="5" borderId="37" xfId="2" applyNumberFormat="1" applyFont="1" applyFill="1" applyBorder="1" applyAlignment="1">
      <alignment horizontal="right" vertical="center" wrapText="1" indent="1"/>
    </xf>
    <xf numFmtId="164" fontId="5" fillId="5" borderId="36" xfId="2" applyNumberFormat="1" applyFont="1" applyFill="1" applyBorder="1" applyAlignment="1">
      <alignment horizontal="right" vertical="center" wrapText="1" indent="1"/>
    </xf>
    <xf numFmtId="164" fontId="5" fillId="5" borderId="38" xfId="2" applyNumberFormat="1" applyFont="1" applyFill="1" applyBorder="1" applyAlignment="1">
      <alignment horizontal="right" vertical="center" wrapText="1" indent="1"/>
    </xf>
    <xf numFmtId="0" fontId="7" fillId="0" borderId="0" xfId="0" applyFont="1" applyAlignment="1">
      <alignment wrapText="1"/>
    </xf>
    <xf numFmtId="164" fontId="77" fillId="4" borderId="43" xfId="0" applyNumberFormat="1" applyFont="1" applyFill="1" applyBorder="1" applyAlignment="1">
      <alignment horizontal="right" vertical="center" wrapText="1" indent="1"/>
    </xf>
    <xf numFmtId="3" fontId="10" fillId="3" borderId="0" xfId="0" applyNumberFormat="1" applyFont="1" applyFill="1" applyAlignment="1">
      <alignment horizontal="right" vertical="center" wrapText="1" indent="1"/>
    </xf>
    <xf numFmtId="3" fontId="9" fillId="5" borderId="90" xfId="0" applyNumberFormat="1" applyFont="1" applyFill="1" applyBorder="1" applyAlignment="1">
      <alignment horizontal="right" vertical="center" wrapText="1" indent="1"/>
    </xf>
    <xf numFmtId="1" fontId="10" fillId="3" borderId="41" xfId="0" applyNumberFormat="1" applyFont="1" applyFill="1" applyBorder="1" applyAlignment="1">
      <alignment horizontal="right" vertical="center" wrapText="1"/>
    </xf>
    <xf numFmtId="165" fontId="10" fillId="3" borderId="41" xfId="0" applyNumberFormat="1" applyFont="1" applyFill="1" applyBorder="1" applyAlignment="1">
      <alignment horizontal="right" vertical="center" wrapText="1"/>
    </xf>
    <xf numFmtId="165" fontId="9" fillId="3" borderId="44" xfId="0" applyNumberFormat="1" applyFont="1" applyFill="1" applyBorder="1" applyAlignment="1">
      <alignment horizontal="right" vertical="center" wrapText="1"/>
    </xf>
    <xf numFmtId="1" fontId="10" fillId="3" borderId="47" xfId="0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horizontal="left" vertical="center" wrapText="1"/>
    </xf>
    <xf numFmtId="164" fontId="10" fillId="0" borderId="56" xfId="0" applyNumberFormat="1" applyFont="1" applyBorder="1" applyAlignment="1">
      <alignment horizontal="right" vertical="center" wrapText="1"/>
    </xf>
    <xf numFmtId="0" fontId="56" fillId="5" borderId="0" xfId="0" applyFont="1" applyFill="1" applyAlignment="1">
      <alignment horizontal="left" vertical="center" wrapText="1"/>
    </xf>
    <xf numFmtId="164" fontId="16" fillId="5" borderId="56" xfId="0" applyNumberFormat="1" applyFont="1" applyFill="1" applyBorder="1" applyAlignment="1">
      <alignment horizontal="right" vertical="center" wrapText="1"/>
    </xf>
    <xf numFmtId="164" fontId="9" fillId="5" borderId="8" xfId="0" applyNumberFormat="1" applyFont="1" applyFill="1" applyBorder="1" applyAlignment="1">
      <alignment horizontal="right" vertical="center" wrapText="1" indent="1"/>
    </xf>
    <xf numFmtId="164" fontId="10" fillId="5" borderId="113" xfId="0" applyNumberFormat="1" applyFont="1" applyFill="1" applyBorder="1" applyAlignment="1">
      <alignment horizontal="right" vertical="center" wrapText="1"/>
    </xf>
    <xf numFmtId="165" fontId="10" fillId="5" borderId="114" xfId="0" applyNumberFormat="1" applyFont="1" applyFill="1" applyBorder="1" applyAlignment="1">
      <alignment horizontal="right" vertical="center" wrapText="1"/>
    </xf>
    <xf numFmtId="0" fontId="56" fillId="5" borderId="21" xfId="0" applyFont="1" applyFill="1" applyBorder="1" applyAlignment="1">
      <alignment horizontal="left" vertical="center" wrapText="1"/>
    </xf>
    <xf numFmtId="0" fontId="9" fillId="5" borderId="161" xfId="0" applyFont="1" applyFill="1" applyBorder="1" applyAlignment="1">
      <alignment horizontal="left" vertical="center" wrapText="1" indent="1"/>
    </xf>
    <xf numFmtId="164" fontId="9" fillId="5" borderId="74" xfId="0" applyNumberFormat="1" applyFont="1" applyFill="1" applyBorder="1" applyAlignment="1">
      <alignment horizontal="right" vertical="center" wrapText="1" indent="1"/>
    </xf>
    <xf numFmtId="1" fontId="9" fillId="5" borderId="8" xfId="0" applyNumberFormat="1" applyFont="1" applyFill="1" applyBorder="1" applyAlignment="1">
      <alignment horizontal="right" vertical="center" wrapText="1" indent="1"/>
    </xf>
    <xf numFmtId="1" fontId="9" fillId="5" borderId="2" xfId="0" applyNumberFormat="1" applyFont="1" applyFill="1" applyBorder="1" applyAlignment="1">
      <alignment horizontal="right" vertical="center" wrapText="1" indent="1"/>
    </xf>
    <xf numFmtId="1" fontId="9" fillId="5" borderId="0" xfId="0" applyNumberFormat="1" applyFont="1" applyFill="1" applyAlignment="1">
      <alignment horizontal="right" vertical="center" wrapText="1" indent="1"/>
    </xf>
    <xf numFmtId="164" fontId="9" fillId="5" borderId="75" xfId="0" applyNumberFormat="1" applyFont="1" applyFill="1" applyBorder="1" applyAlignment="1">
      <alignment horizontal="right" vertical="center" wrapText="1" indent="1"/>
    </xf>
    <xf numFmtId="164" fontId="10" fillId="5" borderId="76" xfId="0" applyNumberFormat="1" applyFont="1" applyFill="1" applyBorder="1" applyAlignment="1">
      <alignment horizontal="right" vertical="center" wrapText="1" indent="1"/>
    </xf>
    <xf numFmtId="164" fontId="10" fillId="5" borderId="42" xfId="0" applyNumberFormat="1" applyFont="1" applyFill="1" applyBorder="1" applyAlignment="1">
      <alignment horizontal="right" vertical="center" wrapText="1" indent="1"/>
    </xf>
    <xf numFmtId="0" fontId="5" fillId="5" borderId="12" xfId="0" applyFont="1" applyFill="1" applyBorder="1" applyAlignment="1">
      <alignment vertical="center" wrapText="1"/>
    </xf>
    <xf numFmtId="0" fontId="9" fillId="5" borderId="0" xfId="0" applyFont="1" applyFill="1" applyAlignment="1">
      <alignment horizontal="right" vertical="center" wrapText="1" indent="1"/>
    </xf>
    <xf numFmtId="0" fontId="5" fillId="5" borderId="12" xfId="0" applyFont="1" applyFill="1" applyBorder="1" applyAlignment="1">
      <alignment horizontal="left" vertical="center" wrapText="1"/>
    </xf>
    <xf numFmtId="3" fontId="10" fillId="5" borderId="42" xfId="0" applyNumberFormat="1" applyFont="1" applyFill="1" applyBorder="1" applyAlignment="1">
      <alignment horizontal="right" vertical="center" wrapText="1" indent="1"/>
    </xf>
    <xf numFmtId="0" fontId="10" fillId="5" borderId="178" xfId="0" applyFont="1" applyFill="1" applyBorder="1" applyAlignment="1">
      <alignment horizontal="left" vertical="center" wrapText="1"/>
    </xf>
    <xf numFmtId="3" fontId="10" fillId="5" borderId="45" xfId="0" applyNumberFormat="1" applyFont="1" applyFill="1" applyBorder="1" applyAlignment="1">
      <alignment horizontal="right" vertical="center" wrapText="1" indent="1"/>
    </xf>
    <xf numFmtId="14" fontId="81" fillId="5" borderId="177" xfId="0" applyNumberFormat="1" applyFont="1" applyFill="1" applyBorder="1" applyAlignment="1">
      <alignment horizontal="left" vertical="center" wrapText="1"/>
    </xf>
    <xf numFmtId="0" fontId="14" fillId="5" borderId="176" xfId="0" applyFont="1" applyFill="1" applyBorder="1" applyAlignment="1">
      <alignment horizontal="right" vertical="center" wrapText="1" indent="1"/>
    </xf>
    <xf numFmtId="14" fontId="81" fillId="5" borderId="179" xfId="0" applyNumberFormat="1" applyFont="1" applyFill="1" applyBorder="1" applyAlignment="1">
      <alignment horizontal="left" vertical="center" wrapText="1"/>
    </xf>
    <xf numFmtId="0" fontId="14" fillId="5" borderId="119" xfId="0" applyFont="1" applyFill="1" applyBorder="1" applyAlignment="1">
      <alignment horizontal="right" vertical="center" wrapText="1" indent="1"/>
    </xf>
    <xf numFmtId="0" fontId="10" fillId="5" borderId="180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center" vertical="center" wrapText="1"/>
    </xf>
    <xf numFmtId="164" fontId="10" fillId="5" borderId="58" xfId="2" applyNumberFormat="1" applyFont="1" applyFill="1" applyBorder="1" applyAlignment="1">
      <alignment vertical="center" wrapText="1"/>
    </xf>
    <xf numFmtId="49" fontId="77" fillId="5" borderId="28" xfId="7" applyNumberFormat="1" applyFont="1" applyFill="1" applyBorder="1" applyAlignment="1">
      <alignment vertical="center" wrapText="1"/>
    </xf>
    <xf numFmtId="49" fontId="78" fillId="5" borderId="0" xfId="7" applyNumberFormat="1" applyFont="1" applyFill="1" applyAlignment="1">
      <alignment vertical="center" wrapText="1"/>
    </xf>
    <xf numFmtId="49" fontId="78" fillId="5" borderId="27" xfId="7" applyNumberFormat="1" applyFont="1" applyFill="1" applyBorder="1" applyAlignment="1">
      <alignment vertical="center" wrapText="1"/>
    </xf>
    <xf numFmtId="49" fontId="78" fillId="5" borderId="90" xfId="7" applyNumberFormat="1" applyFont="1" applyFill="1" applyBorder="1" applyAlignment="1">
      <alignment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vertical="top" wrapText="1"/>
    </xf>
    <xf numFmtId="0" fontId="22" fillId="3" borderId="12" xfId="0" applyFont="1" applyFill="1" applyBorder="1" applyAlignment="1">
      <alignment horizontal="right" vertical="center" wrapText="1" indent="1"/>
    </xf>
    <xf numFmtId="0" fontId="22" fillId="5" borderId="0" xfId="0" applyFont="1" applyFill="1" applyAlignment="1">
      <alignment horizontal="right" vertical="center" wrapText="1" indent="1"/>
    </xf>
    <xf numFmtId="0" fontId="2" fillId="5" borderId="0" xfId="0" applyFont="1" applyFill="1" applyAlignment="1">
      <alignment vertical="top" wrapText="1"/>
    </xf>
    <xf numFmtId="165" fontId="2" fillId="3" borderId="12" xfId="0" applyNumberFormat="1" applyFont="1" applyFill="1" applyBorder="1" applyAlignment="1">
      <alignment horizontal="right" vertical="center" wrapText="1" indent="1"/>
    </xf>
    <xf numFmtId="1" fontId="2" fillId="5" borderId="0" xfId="0" applyNumberFormat="1" applyFont="1" applyFill="1" applyAlignment="1">
      <alignment horizontal="right" vertical="center" wrapText="1" indent="1"/>
    </xf>
    <xf numFmtId="164" fontId="22" fillId="5" borderId="20" xfId="0" applyNumberFormat="1" applyFont="1" applyFill="1" applyBorder="1" applyAlignment="1">
      <alignment horizontal="right" vertical="center" wrapText="1" indent="1"/>
    </xf>
    <xf numFmtId="1" fontId="22" fillId="3" borderId="12" xfId="0" applyNumberFormat="1" applyFont="1" applyFill="1" applyBorder="1" applyAlignment="1">
      <alignment horizontal="right" vertical="center" wrapText="1" indent="1"/>
    </xf>
    <xf numFmtId="164" fontId="2" fillId="5" borderId="20" xfId="0" applyNumberFormat="1" applyFont="1" applyFill="1" applyBorder="1" applyAlignment="1">
      <alignment horizontal="right" vertical="center" wrapText="1" indent="1"/>
    </xf>
    <xf numFmtId="0" fontId="2" fillId="3" borderId="12" xfId="0" applyFont="1" applyFill="1" applyBorder="1" applyAlignment="1">
      <alignment horizontal="right" vertical="center" wrapText="1" indent="1"/>
    </xf>
    <xf numFmtId="0" fontId="5" fillId="3" borderId="12" xfId="0" applyFont="1" applyFill="1" applyBorder="1" applyAlignment="1">
      <alignment horizontal="right" vertical="center" wrapText="1" indent="1"/>
    </xf>
    <xf numFmtId="0" fontId="22" fillId="5" borderId="14" xfId="0" applyFont="1" applyFill="1" applyBorder="1" applyAlignment="1">
      <alignment vertical="top" wrapText="1"/>
    </xf>
    <xf numFmtId="164" fontId="22" fillId="5" borderId="63" xfId="0" applyNumberFormat="1" applyFont="1" applyFill="1" applyBorder="1" applyAlignment="1">
      <alignment horizontal="right" vertical="center" wrapText="1" indent="1"/>
    </xf>
    <xf numFmtId="0" fontId="22" fillId="3" borderId="13" xfId="0" applyFont="1" applyFill="1" applyBorder="1" applyAlignment="1">
      <alignment horizontal="right" vertical="center" wrapText="1" indent="1"/>
    </xf>
    <xf numFmtId="0" fontId="22" fillId="5" borderId="16" xfId="0" applyFont="1" applyFill="1" applyBorder="1" applyAlignment="1">
      <alignment vertical="top" wrapText="1"/>
    </xf>
    <xf numFmtId="164" fontId="22" fillId="5" borderId="33" xfId="0" applyNumberFormat="1" applyFont="1" applyFill="1" applyBorder="1" applyAlignment="1">
      <alignment horizontal="right" vertical="center" wrapText="1" indent="1"/>
    </xf>
    <xf numFmtId="0" fontId="22" fillId="3" borderId="15" xfId="0" applyFont="1" applyFill="1" applyBorder="1" applyAlignment="1">
      <alignment horizontal="right" vertical="center" wrapText="1" indent="1"/>
    </xf>
    <xf numFmtId="1" fontId="22" fillId="5" borderId="0" xfId="0" applyNumberFormat="1" applyFont="1" applyFill="1" applyAlignment="1">
      <alignment horizontal="right" vertical="center" wrapText="1" indent="1"/>
    </xf>
    <xf numFmtId="1" fontId="22" fillId="5" borderId="14" xfId="0" applyNumberFormat="1" applyFont="1" applyFill="1" applyBorder="1" applyAlignment="1">
      <alignment horizontal="right" vertical="center" wrapText="1" indent="1"/>
    </xf>
    <xf numFmtId="3" fontId="9" fillId="5" borderId="56" xfId="0" applyNumberFormat="1" applyFont="1" applyFill="1" applyBorder="1" applyAlignment="1">
      <alignment horizontal="right" vertical="center" wrapText="1" indent="1"/>
    </xf>
    <xf numFmtId="0" fontId="10" fillId="0" borderId="42" xfId="0" applyFont="1" applyBorder="1" applyAlignment="1">
      <alignment vertical="center" wrapText="1"/>
    </xf>
    <xf numFmtId="164" fontId="10" fillId="0" borderId="181" xfId="0" applyNumberFormat="1" applyFont="1" applyBorder="1" applyAlignment="1">
      <alignment horizontal="right" vertical="center" wrapText="1" indent="1"/>
    </xf>
    <xf numFmtId="3" fontId="10" fillId="0" borderId="42" xfId="0" applyNumberFormat="1" applyFont="1" applyBorder="1" applyAlignment="1">
      <alignment horizontal="right" vertical="center" wrapText="1" indent="1"/>
    </xf>
    <xf numFmtId="165" fontId="10" fillId="3" borderId="182" xfId="0" applyNumberFormat="1" applyFont="1" applyFill="1" applyBorder="1" applyAlignment="1">
      <alignment horizontal="right" vertical="center" wrapText="1" indent="1"/>
    </xf>
    <xf numFmtId="165" fontId="9" fillId="3" borderId="161" xfId="0" applyNumberFormat="1" applyFont="1" applyFill="1" applyBorder="1" applyAlignment="1">
      <alignment horizontal="right" vertical="center" wrapText="1" indent="1"/>
    </xf>
    <xf numFmtId="0" fontId="77" fillId="5" borderId="87" xfId="7" applyFont="1" applyFill="1" applyBorder="1" applyAlignment="1">
      <alignment vertical="center" wrapText="1"/>
    </xf>
    <xf numFmtId="164" fontId="22" fillId="5" borderId="93" xfId="7" applyNumberFormat="1" applyFont="1" applyFill="1" applyBorder="1" applyAlignment="1">
      <alignment horizontal="right" vertical="center" wrapText="1" indent="1"/>
    </xf>
    <xf numFmtId="164" fontId="22" fillId="5" borderId="87" xfId="7" applyNumberFormat="1" applyFont="1" applyFill="1" applyBorder="1" applyAlignment="1">
      <alignment horizontal="right" vertical="center" wrapText="1" indent="1"/>
    </xf>
    <xf numFmtId="164" fontId="22" fillId="3" borderId="87" xfId="7" applyNumberFormat="1" applyFont="1" applyFill="1" applyBorder="1" applyAlignment="1">
      <alignment horizontal="right" vertical="center" wrapText="1" indent="1"/>
    </xf>
    <xf numFmtId="164" fontId="22" fillId="3" borderId="80" xfId="7" applyNumberFormat="1" applyFont="1" applyFill="1" applyBorder="1" applyAlignment="1">
      <alignment horizontal="right" vertical="center" wrapText="1" indent="1"/>
    </xf>
    <xf numFmtId="164" fontId="2" fillId="5" borderId="40" xfId="7" applyNumberFormat="1" applyFont="1" applyFill="1" applyBorder="1" applyAlignment="1">
      <alignment horizontal="right" vertical="center" wrapText="1" indent="1"/>
    </xf>
    <xf numFmtId="164" fontId="2" fillId="5" borderId="0" xfId="7" applyNumberFormat="1" applyFont="1" applyFill="1" applyAlignment="1">
      <alignment horizontal="right" vertical="center" wrapText="1" indent="1"/>
    </xf>
    <xf numFmtId="164" fontId="2" fillId="3" borderId="0" xfId="7" applyNumberFormat="1" applyFont="1" applyFill="1" applyAlignment="1">
      <alignment horizontal="right" vertical="center" wrapText="1" indent="1"/>
    </xf>
    <xf numFmtId="164" fontId="2" fillId="3" borderId="41" xfId="7" applyNumberFormat="1" applyFont="1" applyFill="1" applyBorder="1" applyAlignment="1">
      <alignment horizontal="right" vertical="center" wrapText="1" indent="1"/>
    </xf>
    <xf numFmtId="49" fontId="78" fillId="5" borderId="36" xfId="7" applyNumberFormat="1" applyFont="1" applyFill="1" applyBorder="1" applyAlignment="1">
      <alignment vertical="center" wrapText="1"/>
    </xf>
    <xf numFmtId="164" fontId="2" fillId="5" borderId="37" xfId="7" applyNumberFormat="1" applyFont="1" applyFill="1" applyBorder="1" applyAlignment="1">
      <alignment horizontal="right" vertical="center" wrapText="1" indent="1"/>
    </xf>
    <xf numFmtId="164" fontId="2" fillId="5" borderId="36" xfId="7" applyNumberFormat="1" applyFont="1" applyFill="1" applyBorder="1" applyAlignment="1">
      <alignment horizontal="right" vertical="center" wrapText="1" indent="1"/>
    </xf>
    <xf numFmtId="49" fontId="77" fillId="5" borderId="80" xfId="7" applyNumberFormat="1" applyFont="1" applyFill="1" applyBorder="1" applyAlignment="1">
      <alignment vertical="center" wrapText="1"/>
    </xf>
    <xf numFmtId="49" fontId="78" fillId="5" borderId="41" xfId="7" applyNumberFormat="1" applyFont="1" applyFill="1" applyBorder="1" applyAlignment="1">
      <alignment vertical="center" wrapText="1"/>
    </xf>
    <xf numFmtId="164" fontId="78" fillId="5" borderId="0" xfId="7" applyNumberFormat="1" applyFont="1" applyFill="1" applyAlignment="1">
      <alignment horizontal="right" vertical="center" wrapText="1" indent="1"/>
    </xf>
    <xf numFmtId="49" fontId="78" fillId="5" borderId="38" xfId="7" applyNumberFormat="1" applyFont="1" applyFill="1" applyBorder="1" applyAlignment="1">
      <alignment vertical="center" wrapText="1"/>
    </xf>
    <xf numFmtId="164" fontId="78" fillId="5" borderId="37" xfId="7" applyNumberFormat="1" applyFont="1" applyFill="1" applyBorder="1" applyAlignment="1">
      <alignment horizontal="right" vertical="center" wrapText="1" indent="1"/>
    </xf>
    <xf numFmtId="164" fontId="78" fillId="5" borderId="36" xfId="7" applyNumberFormat="1" applyFont="1" applyFill="1" applyBorder="1" applyAlignment="1">
      <alignment horizontal="right" vertical="center" wrapText="1" indent="1"/>
    </xf>
    <xf numFmtId="49" fontId="77" fillId="5" borderId="87" xfId="7" applyNumberFormat="1" applyFont="1" applyFill="1" applyBorder="1" applyAlignment="1">
      <alignment vertical="center" wrapText="1"/>
    </xf>
    <xf numFmtId="164" fontId="12" fillId="5" borderId="98" xfId="7" applyNumberFormat="1" applyFont="1" applyFill="1" applyBorder="1" applyAlignment="1">
      <alignment horizontal="right" vertical="center" wrapText="1" indent="1"/>
    </xf>
    <xf numFmtId="164" fontId="12" fillId="5" borderId="90" xfId="7" applyNumberFormat="1" applyFont="1" applyFill="1" applyBorder="1" applyAlignment="1">
      <alignment horizontal="right" vertical="center" wrapText="1" indent="1"/>
    </xf>
    <xf numFmtId="164" fontId="2" fillId="3" borderId="99" xfId="7" applyNumberFormat="1" applyFont="1" applyFill="1" applyBorder="1" applyAlignment="1">
      <alignment horizontal="right" vertical="center" wrapText="1" indent="1"/>
    </xf>
    <xf numFmtId="164" fontId="10" fillId="5" borderId="45" xfId="2" applyNumberFormat="1" applyFont="1" applyFill="1" applyBorder="1" applyAlignment="1">
      <alignment horizontal="right" vertical="center" wrapText="1"/>
    </xf>
    <xf numFmtId="49" fontId="10" fillId="5" borderId="36" xfId="0" applyNumberFormat="1" applyFont="1" applyFill="1" applyBorder="1" applyAlignment="1">
      <alignment horizontal="right" vertical="center" wrapText="1"/>
    </xf>
    <xf numFmtId="3" fontId="22" fillId="5" borderId="16" xfId="0" applyNumberFormat="1" applyFont="1" applyFill="1" applyBorder="1" applyAlignment="1">
      <alignment horizontal="right" vertical="center" wrapText="1" indent="1"/>
    </xf>
    <xf numFmtId="0" fontId="1" fillId="0" borderId="0" xfId="1" applyFill="1"/>
    <xf numFmtId="0" fontId="73" fillId="5" borderId="55" xfId="0" applyFont="1" applyFill="1" applyBorder="1" applyAlignment="1">
      <alignment horizontal="center" vertical="center" wrapText="1"/>
    </xf>
    <xf numFmtId="0" fontId="73" fillId="5" borderId="27" xfId="0" applyFont="1" applyFill="1" applyBorder="1" applyAlignment="1">
      <alignment horizontal="center" vertical="center" wrapText="1"/>
    </xf>
    <xf numFmtId="0" fontId="73" fillId="5" borderId="5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9" fillId="5" borderId="26" xfId="0" applyFont="1" applyFill="1" applyBorder="1" applyAlignment="1">
      <alignment horizontal="center" vertical="center" wrapText="1"/>
    </xf>
    <xf numFmtId="0" fontId="10" fillId="5" borderId="44" xfId="0" applyFont="1" applyFill="1" applyBorder="1" applyAlignment="1">
      <alignment vertical="center" wrapText="1"/>
    </xf>
    <xf numFmtId="0" fontId="9" fillId="5" borderId="111" xfId="0" applyFont="1" applyFill="1" applyBorder="1" applyAlignment="1">
      <alignment horizontal="center" vertical="center" wrapText="1"/>
    </xf>
    <xf numFmtId="0" fontId="9" fillId="5" borderId="112" xfId="0" applyFont="1" applyFill="1" applyBorder="1" applyAlignment="1">
      <alignment horizontal="center" vertical="center" wrapText="1"/>
    </xf>
    <xf numFmtId="0" fontId="9" fillId="5" borderId="115" xfId="0" applyFont="1" applyFill="1" applyBorder="1" applyAlignment="1">
      <alignment horizontal="center" vertical="center" wrapText="1"/>
    </xf>
    <xf numFmtId="3" fontId="58" fillId="5" borderId="0" xfId="0" applyNumberFormat="1" applyFont="1" applyFill="1" applyAlignment="1">
      <alignment horizontal="left" vertical="center" wrapText="1"/>
    </xf>
    <xf numFmtId="49" fontId="58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41" fillId="0" borderId="0" xfId="0" applyNumberFormat="1" applyFont="1" applyAlignment="1">
      <alignment horizontal="center" vertical="center"/>
    </xf>
    <xf numFmtId="3" fontId="9" fillId="5" borderId="57" xfId="0" applyNumberFormat="1" applyFont="1" applyFill="1" applyBorder="1" applyAlignment="1">
      <alignment horizontal="right" vertical="center" wrapText="1" indent="1"/>
    </xf>
    <xf numFmtId="0" fontId="47" fillId="5" borderId="11" xfId="0" applyFont="1" applyFill="1" applyBorder="1" applyAlignment="1">
      <alignment horizontal="center" vertical="center" wrapText="1"/>
    </xf>
    <xf numFmtId="0" fontId="5" fillId="5" borderId="168" xfId="0" applyFont="1" applyFill="1" applyBorder="1" applyAlignment="1">
      <alignment horizontal="center" vertical="center" wrapText="1"/>
    </xf>
    <xf numFmtId="4" fontId="83" fillId="0" borderId="0" xfId="0" applyNumberFormat="1" applyFont="1" applyAlignment="1">
      <alignment horizontal="right" vertical="center"/>
    </xf>
    <xf numFmtId="4" fontId="83" fillId="0" borderId="6" xfId="0" applyNumberFormat="1" applyFont="1" applyBorder="1" applyAlignment="1">
      <alignment horizontal="right" vertical="center"/>
    </xf>
    <xf numFmtId="4" fontId="83" fillId="0" borderId="165" xfId="0" applyNumberFormat="1" applyFont="1" applyBorder="1" applyAlignment="1">
      <alignment horizontal="right" vertical="center"/>
    </xf>
    <xf numFmtId="0" fontId="47" fillId="5" borderId="159" xfId="3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7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3" fontId="9" fillId="5" borderId="1" xfId="0" applyNumberFormat="1" applyFont="1" applyFill="1" applyBorder="1" applyAlignment="1">
      <alignment horizontal="right" vertical="center" wrapText="1" indent="1"/>
    </xf>
    <xf numFmtId="1" fontId="10" fillId="5" borderId="45" xfId="0" applyNumberFormat="1" applyFont="1" applyFill="1" applyBorder="1" applyAlignment="1">
      <alignment horizontal="right" vertical="center" wrapText="1" indent="1"/>
    </xf>
    <xf numFmtId="1" fontId="10" fillId="5" borderId="57" xfId="0" applyNumberFormat="1" applyFont="1" applyFill="1" applyBorder="1" applyAlignment="1">
      <alignment horizontal="right" vertical="center" wrapText="1" indent="1"/>
    </xf>
    <xf numFmtId="3" fontId="9" fillId="5" borderId="42" xfId="0" applyNumberFormat="1" applyFont="1" applyFill="1" applyBorder="1" applyAlignment="1">
      <alignment horizontal="right" vertical="center" wrapText="1" indent="1"/>
    </xf>
    <xf numFmtId="3" fontId="10" fillId="0" borderId="0" xfId="0" applyNumberFormat="1" applyFont="1" applyAlignment="1">
      <alignment horizontal="right" vertical="center" wrapText="1" indent="1"/>
    </xf>
    <xf numFmtId="3" fontId="9" fillId="5" borderId="0" xfId="2" applyNumberFormat="1" applyFont="1" applyFill="1" applyBorder="1" applyAlignment="1">
      <alignment horizontal="right" vertical="center" wrapText="1" indent="1"/>
    </xf>
    <xf numFmtId="3" fontId="10" fillId="5" borderId="21" xfId="2" applyNumberFormat="1" applyFont="1" applyFill="1" applyBorder="1" applyAlignment="1">
      <alignment horizontal="right" vertical="center" wrapText="1" indent="1"/>
    </xf>
    <xf numFmtId="0" fontId="16" fillId="3" borderId="0" xfId="0" applyFont="1" applyFill="1" applyAlignment="1">
      <alignment horizontal="left" vertical="center" wrapText="1"/>
    </xf>
    <xf numFmtId="0" fontId="16" fillId="5" borderId="0" xfId="0" applyFont="1" applyFill="1" applyAlignment="1">
      <alignment horizontal="left" vertical="center" wrapText="1"/>
    </xf>
    <xf numFmtId="3" fontId="12" fillId="5" borderId="0" xfId="0" applyNumberFormat="1" applyFont="1" applyFill="1" applyAlignment="1">
      <alignment horizontal="left" vertical="center" wrapText="1"/>
    </xf>
    <xf numFmtId="0" fontId="16" fillId="4" borderId="42" xfId="0" applyFont="1" applyFill="1" applyBorder="1" applyAlignment="1">
      <alignment horizontal="left" vertical="center" wrapText="1"/>
    </xf>
    <xf numFmtId="3" fontId="12" fillId="5" borderId="90" xfId="0" applyNumberFormat="1" applyFont="1" applyFill="1" applyBorder="1" applyAlignment="1">
      <alignment horizontal="left" vertical="center" wrapText="1"/>
    </xf>
    <xf numFmtId="168" fontId="2" fillId="3" borderId="6" xfId="0" applyNumberFormat="1" applyFont="1" applyFill="1" applyBorder="1"/>
    <xf numFmtId="168" fontId="2" fillId="3" borderId="0" xfId="0" applyNumberFormat="1" applyFont="1" applyFill="1"/>
    <xf numFmtId="0" fontId="2" fillId="0" borderId="6" xfId="0" applyFont="1" applyBorder="1"/>
    <xf numFmtId="169" fontId="2" fillId="0" borderId="0" xfId="0" applyNumberFormat="1" applyFont="1"/>
    <xf numFmtId="0" fontId="47" fillId="5" borderId="183" xfId="3" applyFont="1" applyFill="1" applyBorder="1" applyAlignment="1">
      <alignment horizontal="center" vertical="center" wrapText="1"/>
    </xf>
    <xf numFmtId="164" fontId="50" fillId="5" borderId="56" xfId="0" applyNumberFormat="1" applyFont="1" applyFill="1" applyBorder="1" applyAlignment="1">
      <alignment horizontal="right" vertical="center" wrapText="1"/>
    </xf>
    <xf numFmtId="164" fontId="55" fillId="3" borderId="0" xfId="0" applyNumberFormat="1" applyFont="1" applyFill="1" applyAlignment="1">
      <alignment horizontal="right" vertical="center" wrapText="1"/>
    </xf>
    <xf numFmtId="164" fontId="50" fillId="5" borderId="0" xfId="0" applyNumberFormat="1" applyFont="1" applyFill="1" applyAlignment="1">
      <alignment horizontal="right" vertical="center" wrapText="1"/>
    </xf>
    <xf numFmtId="164" fontId="55" fillId="5" borderId="0" xfId="0" applyNumberFormat="1" applyFont="1" applyFill="1" applyAlignment="1">
      <alignment horizontal="right" vertical="center" wrapText="1"/>
    </xf>
    <xf numFmtId="164" fontId="55" fillId="3" borderId="49" xfId="0" applyNumberFormat="1" applyFont="1" applyFill="1" applyBorder="1" applyAlignment="1">
      <alignment horizontal="right" vertical="center" wrapText="1"/>
    </xf>
    <xf numFmtId="3" fontId="55" fillId="5" borderId="0" xfId="0" applyNumberFormat="1" applyFont="1" applyFill="1" applyAlignment="1">
      <alignment horizontal="right" vertical="center" wrapText="1" indent="1"/>
    </xf>
    <xf numFmtId="164" fontId="61" fillId="5" borderId="67" xfId="0" applyNumberFormat="1" applyFont="1" applyFill="1" applyBorder="1" applyAlignment="1">
      <alignment horizontal="right" vertical="center" wrapText="1"/>
    </xf>
    <xf numFmtId="164" fontId="61" fillId="3" borderId="66" xfId="0" applyNumberFormat="1" applyFont="1" applyFill="1" applyBorder="1" applyAlignment="1">
      <alignment horizontal="right" vertical="center" wrapText="1"/>
    </xf>
    <xf numFmtId="164" fontId="61" fillId="5" borderId="66" xfId="0" applyNumberFormat="1" applyFont="1" applyFill="1" applyBorder="1" applyAlignment="1">
      <alignment horizontal="right" vertical="center" wrapText="1"/>
    </xf>
    <xf numFmtId="164" fontId="61" fillId="3" borderId="68" xfId="0" applyNumberFormat="1" applyFont="1" applyFill="1" applyBorder="1" applyAlignment="1">
      <alignment horizontal="right" vertical="center" wrapText="1"/>
    </xf>
    <xf numFmtId="3" fontId="61" fillId="5" borderId="66" xfId="0" applyNumberFormat="1" applyFont="1" applyFill="1" applyBorder="1" applyAlignment="1">
      <alignment horizontal="right" vertical="center" wrapText="1" indent="1"/>
    </xf>
    <xf numFmtId="164" fontId="61" fillId="5" borderId="56" xfId="0" applyNumberFormat="1" applyFont="1" applyFill="1" applyBorder="1" applyAlignment="1">
      <alignment horizontal="right" vertical="center" wrapText="1"/>
    </xf>
    <xf numFmtId="164" fontId="61" fillId="5" borderId="0" xfId="0" applyNumberFormat="1" applyFont="1" applyFill="1" applyAlignment="1">
      <alignment horizontal="right" vertical="center" wrapText="1"/>
    </xf>
    <xf numFmtId="164" fontId="61" fillId="5" borderId="65" xfId="2" applyNumberFormat="1" applyFont="1" applyFill="1" applyBorder="1" applyAlignment="1">
      <alignment vertical="center" wrapText="1"/>
    </xf>
    <xf numFmtId="164" fontId="61" fillId="3" borderId="57" xfId="2" applyNumberFormat="1" applyFont="1" applyFill="1" applyBorder="1" applyAlignment="1">
      <alignment vertical="center" wrapText="1"/>
    </xf>
    <xf numFmtId="164" fontId="61" fillId="5" borderId="57" xfId="2" applyNumberFormat="1" applyFont="1" applyFill="1" applyBorder="1" applyAlignment="1">
      <alignment vertical="center" wrapText="1"/>
    </xf>
    <xf numFmtId="164" fontId="61" fillId="3" borderId="58" xfId="2" applyNumberFormat="1" applyFont="1" applyFill="1" applyBorder="1" applyAlignment="1">
      <alignment vertical="center" wrapText="1"/>
    </xf>
    <xf numFmtId="1" fontId="61" fillId="5" borderId="57" xfId="0" applyNumberFormat="1" applyFont="1" applyFill="1" applyBorder="1" applyAlignment="1">
      <alignment horizontal="right" vertical="center" wrapText="1" indent="1"/>
    </xf>
    <xf numFmtId="164" fontId="12" fillId="5" borderId="40" xfId="0" applyNumberFormat="1" applyFont="1" applyFill="1" applyBorder="1" applyAlignment="1">
      <alignment horizontal="right" vertical="center" wrapText="1" indent="1"/>
    </xf>
    <xf numFmtId="164" fontId="9" fillId="3" borderId="0" xfId="0" applyNumberFormat="1" applyFont="1" applyFill="1" applyAlignment="1">
      <alignment horizontal="right" vertical="center" wrapText="1" indent="1"/>
    </xf>
    <xf numFmtId="164" fontId="9" fillId="3" borderId="41" xfId="0" applyNumberFormat="1" applyFont="1" applyFill="1" applyBorder="1" applyAlignment="1">
      <alignment horizontal="right" vertical="center" wrapText="1" indent="1"/>
    </xf>
    <xf numFmtId="164" fontId="9" fillId="5" borderId="0" xfId="2" applyNumberFormat="1" applyFont="1" applyFill="1" applyBorder="1" applyAlignment="1">
      <alignment horizontal="right" vertical="center" wrapText="1" indent="1"/>
    </xf>
    <xf numFmtId="164" fontId="10" fillId="5" borderId="43" xfId="0" applyNumberFormat="1" applyFont="1" applyFill="1" applyBorder="1" applyAlignment="1">
      <alignment horizontal="right" vertical="center" wrapText="1" indent="1"/>
    </xf>
    <xf numFmtId="164" fontId="10" fillId="3" borderId="42" xfId="0" applyNumberFormat="1" applyFont="1" applyFill="1" applyBorder="1" applyAlignment="1">
      <alignment horizontal="right" vertical="center" wrapText="1" indent="1"/>
    </xf>
    <xf numFmtId="164" fontId="10" fillId="3" borderId="44" xfId="0" applyNumberFormat="1" applyFont="1" applyFill="1" applyBorder="1" applyAlignment="1">
      <alignment horizontal="right" vertical="center" wrapText="1" indent="1"/>
    </xf>
    <xf numFmtId="164" fontId="10" fillId="5" borderId="40" xfId="0" applyNumberFormat="1" applyFont="1" applyFill="1" applyBorder="1" applyAlignment="1">
      <alignment horizontal="right" vertical="center" wrapText="1" indent="1"/>
    </xf>
    <xf numFmtId="164" fontId="10" fillId="5" borderId="46" xfId="2" applyNumberFormat="1" applyFont="1" applyFill="1" applyBorder="1" applyAlignment="1">
      <alignment horizontal="right" vertical="center" wrapText="1" indent="1"/>
    </xf>
    <xf numFmtId="164" fontId="10" fillId="3" borderId="45" xfId="2" applyNumberFormat="1" applyFont="1" applyFill="1" applyBorder="1" applyAlignment="1">
      <alignment horizontal="right" vertical="center" wrapText="1" indent="1"/>
    </xf>
    <xf numFmtId="164" fontId="10" fillId="5" borderId="45" xfId="2" applyNumberFormat="1" applyFont="1" applyFill="1" applyBorder="1" applyAlignment="1">
      <alignment horizontal="right" vertical="center" wrapText="1" indent="1"/>
    </xf>
    <xf numFmtId="164" fontId="10" fillId="3" borderId="47" xfId="2" applyNumberFormat="1" applyFont="1" applyFill="1" applyBorder="1" applyAlignment="1">
      <alignment horizontal="right" vertical="center" wrapText="1" indent="1"/>
    </xf>
    <xf numFmtId="164" fontId="22" fillId="5" borderId="149" xfId="7" applyNumberFormat="1" applyFont="1" applyFill="1" applyBorder="1" applyAlignment="1">
      <alignment horizontal="right" vertical="center" wrapText="1" indent="1"/>
    </xf>
    <xf numFmtId="164" fontId="22" fillId="5" borderId="28" xfId="7" applyNumberFormat="1" applyFont="1" applyFill="1" applyBorder="1" applyAlignment="1">
      <alignment horizontal="right" vertical="center" wrapText="1" indent="1"/>
    </xf>
    <xf numFmtId="2" fontId="22" fillId="3" borderId="148" xfId="7" applyNumberFormat="1" applyFont="1" applyFill="1" applyBorder="1" applyAlignment="1">
      <alignment horizontal="right" vertical="center" wrapText="1" indent="1"/>
    </xf>
    <xf numFmtId="2" fontId="22" fillId="3" borderId="28" xfId="7" applyNumberFormat="1" applyFont="1" applyFill="1" applyBorder="1" applyAlignment="1">
      <alignment horizontal="right" vertical="center" wrapText="1" indent="1"/>
    </xf>
    <xf numFmtId="2" fontId="2" fillId="3" borderId="41" xfId="7" applyNumberFormat="1" applyFont="1" applyFill="1" applyBorder="1" applyAlignment="1">
      <alignment horizontal="right" vertical="center" wrapText="1" indent="1"/>
    </xf>
    <xf numFmtId="2" fontId="2" fillId="3" borderId="0" xfId="7" applyNumberFormat="1" applyFont="1" applyFill="1" applyAlignment="1">
      <alignment horizontal="right" vertical="center" wrapText="1" indent="1"/>
    </xf>
    <xf numFmtId="164" fontId="2" fillId="5" borderId="151" xfId="7" applyNumberFormat="1" applyFont="1" applyFill="1" applyBorder="1" applyAlignment="1">
      <alignment horizontal="right" vertical="center" wrapText="1" indent="1"/>
    </xf>
    <xf numFmtId="164" fontId="2" fillId="5" borderId="27" xfId="7" applyNumberFormat="1" applyFont="1" applyFill="1" applyBorder="1" applyAlignment="1">
      <alignment horizontal="right" vertical="center" wrapText="1" indent="1"/>
    </xf>
    <xf numFmtId="2" fontId="2" fillId="3" borderId="150" xfId="7" applyNumberFormat="1" applyFont="1" applyFill="1" applyBorder="1" applyAlignment="1">
      <alignment horizontal="right" vertical="center" wrapText="1" indent="1"/>
    </xf>
    <xf numFmtId="2" fontId="2" fillId="3" borderId="27" xfId="7" applyNumberFormat="1" applyFont="1" applyFill="1" applyBorder="1" applyAlignment="1">
      <alignment horizontal="right" vertical="center" wrapText="1" indent="1"/>
    </xf>
    <xf numFmtId="164" fontId="22" fillId="5" borderId="40" xfId="7" applyNumberFormat="1" applyFont="1" applyFill="1" applyBorder="1" applyAlignment="1">
      <alignment horizontal="right" vertical="center" wrapText="1" indent="1"/>
    </xf>
    <xf numFmtId="164" fontId="22" fillId="5" borderId="0" xfId="7" applyNumberFormat="1" applyFont="1" applyFill="1" applyAlignment="1">
      <alignment horizontal="right" vertical="center" wrapText="1" indent="1"/>
    </xf>
    <xf numFmtId="164" fontId="22" fillId="3" borderId="41" xfId="7" applyNumberFormat="1" applyFont="1" applyFill="1" applyBorder="1" applyAlignment="1">
      <alignment horizontal="right" vertical="center" wrapText="1" indent="1"/>
    </xf>
    <xf numFmtId="164" fontId="22" fillId="3" borderId="0" xfId="7" applyNumberFormat="1" applyFont="1" applyFill="1" applyAlignment="1">
      <alignment horizontal="right" vertical="center" wrapText="1" indent="1"/>
    </xf>
    <xf numFmtId="164" fontId="22" fillId="3" borderId="148" xfId="7" applyNumberFormat="1" applyFont="1" applyFill="1" applyBorder="1" applyAlignment="1">
      <alignment horizontal="right" vertical="center" wrapText="1" indent="1"/>
    </xf>
    <xf numFmtId="164" fontId="22" fillId="3" borderId="28" xfId="7" applyNumberFormat="1" applyFont="1" applyFill="1" applyBorder="1" applyAlignment="1">
      <alignment horizontal="right" vertical="center" wrapText="1" indent="1"/>
    </xf>
    <xf numFmtId="164" fontId="2" fillId="3" borderId="150" xfId="7" applyNumberFormat="1" applyFont="1" applyFill="1" applyBorder="1" applyAlignment="1">
      <alignment horizontal="right" vertical="center" wrapText="1" indent="1"/>
    </xf>
    <xf numFmtId="164" fontId="2" fillId="3" borderId="27" xfId="7" applyNumberFormat="1" applyFont="1" applyFill="1" applyBorder="1" applyAlignment="1">
      <alignment horizontal="right" vertical="center" wrapText="1" indent="1"/>
    </xf>
    <xf numFmtId="164" fontId="12" fillId="3" borderId="99" xfId="7" applyNumberFormat="1" applyFont="1" applyFill="1" applyBorder="1" applyAlignment="1">
      <alignment horizontal="right" vertical="center" wrapText="1" indent="1"/>
    </xf>
    <xf numFmtId="164" fontId="12" fillId="3" borderId="90" xfId="7" applyNumberFormat="1" applyFont="1" applyFill="1" applyBorder="1" applyAlignment="1">
      <alignment horizontal="right" vertical="center" wrapText="1" indent="1"/>
    </xf>
    <xf numFmtId="164" fontId="22" fillId="5" borderId="43" xfId="7" applyNumberFormat="1" applyFont="1" applyFill="1" applyBorder="1" applyAlignment="1">
      <alignment horizontal="right" vertical="center" wrapText="1" indent="1"/>
    </xf>
    <xf numFmtId="164" fontId="22" fillId="5" borderId="42" xfId="7" applyNumberFormat="1" applyFont="1" applyFill="1" applyBorder="1" applyAlignment="1">
      <alignment horizontal="right" vertical="center" wrapText="1" indent="1"/>
    </xf>
    <xf numFmtId="164" fontId="22" fillId="3" borderId="44" xfId="7" applyNumberFormat="1" applyFont="1" applyFill="1" applyBorder="1" applyAlignment="1">
      <alignment horizontal="right" vertical="center" wrapText="1" indent="1"/>
    </xf>
    <xf numFmtId="164" fontId="22" fillId="3" borderId="42" xfId="7" applyNumberFormat="1" applyFont="1" applyFill="1" applyBorder="1" applyAlignment="1">
      <alignment horizontal="right" vertical="center" wrapText="1" indent="1"/>
    </xf>
    <xf numFmtId="164" fontId="22" fillId="5" borderId="86" xfId="7" applyNumberFormat="1" applyFont="1" applyFill="1" applyBorder="1" applyAlignment="1">
      <alignment horizontal="right" vertical="center" wrapText="1" indent="1"/>
    </xf>
    <xf numFmtId="164" fontId="2" fillId="5" borderId="88" xfId="7" applyNumberFormat="1" applyFont="1" applyFill="1" applyBorder="1" applyAlignment="1">
      <alignment horizontal="right" vertical="center" wrapText="1" indent="1"/>
    </xf>
    <xf numFmtId="164" fontId="85" fillId="5" borderId="40" xfId="7" applyNumberFormat="1" applyFont="1" applyFill="1" applyBorder="1" applyAlignment="1">
      <alignment horizontal="right" vertical="center" wrapText="1" indent="1"/>
    </xf>
    <xf numFmtId="164" fontId="85" fillId="5" borderId="0" xfId="7" applyNumberFormat="1" applyFont="1" applyFill="1" applyAlignment="1">
      <alignment horizontal="right" vertical="center" wrapText="1" indent="1"/>
    </xf>
    <xf numFmtId="164" fontId="85" fillId="3" borderId="41" xfId="7" applyNumberFormat="1" applyFont="1" applyFill="1" applyBorder="1" applyAlignment="1">
      <alignment horizontal="right" vertical="center" wrapText="1" indent="1"/>
    </xf>
    <xf numFmtId="164" fontId="85" fillId="5" borderId="88" xfId="7" applyNumberFormat="1" applyFont="1" applyFill="1" applyBorder="1" applyAlignment="1">
      <alignment horizontal="right" vertical="center" wrapText="1" indent="1"/>
    </xf>
    <xf numFmtId="164" fontId="85" fillId="3" borderId="0" xfId="7" applyNumberFormat="1" applyFont="1" applyFill="1" applyAlignment="1">
      <alignment horizontal="right" vertical="center" wrapText="1" indent="1"/>
    </xf>
    <xf numFmtId="164" fontId="2" fillId="5" borderId="94" xfId="7" applyNumberFormat="1" applyFont="1" applyFill="1" applyBorder="1" applyAlignment="1">
      <alignment horizontal="right" vertical="center" wrapText="1" indent="1"/>
    </xf>
    <xf numFmtId="164" fontId="2" fillId="5" borderId="6" xfId="7" applyNumberFormat="1" applyFont="1" applyFill="1" applyBorder="1" applyAlignment="1">
      <alignment horizontal="right" vertical="center" wrapText="1" indent="1"/>
    </xf>
    <xf numFmtId="164" fontId="2" fillId="3" borderId="95" xfId="7" applyNumberFormat="1" applyFont="1" applyFill="1" applyBorder="1" applyAlignment="1">
      <alignment horizontal="right" vertical="center" wrapText="1" indent="1"/>
    </xf>
    <xf numFmtId="164" fontId="2" fillId="5" borderId="89" xfId="7" applyNumberFormat="1" applyFont="1" applyFill="1" applyBorder="1" applyAlignment="1">
      <alignment horizontal="right" vertical="center" wrapText="1" indent="1"/>
    </xf>
    <xf numFmtId="164" fontId="2" fillId="3" borderId="6" xfId="7" applyNumberFormat="1" applyFont="1" applyFill="1" applyBorder="1" applyAlignment="1">
      <alignment horizontal="right" vertical="center" wrapText="1" indent="1"/>
    </xf>
    <xf numFmtId="164" fontId="22" fillId="5" borderId="96" xfId="7" applyNumberFormat="1" applyFont="1" applyFill="1" applyBorder="1" applyAlignment="1">
      <alignment horizontal="right" vertical="center" wrapText="1"/>
    </xf>
    <xf numFmtId="164" fontId="22" fillId="5" borderId="8" xfId="7" applyNumberFormat="1" applyFont="1" applyFill="1" applyBorder="1" applyAlignment="1">
      <alignment horizontal="right" vertical="center" wrapText="1"/>
    </xf>
    <xf numFmtId="164" fontId="22" fillId="3" borderId="97" xfId="7" applyNumberFormat="1" applyFont="1" applyFill="1" applyBorder="1" applyAlignment="1">
      <alignment horizontal="right" vertical="center" wrapText="1" indent="1"/>
    </xf>
    <xf numFmtId="164" fontId="22" fillId="5" borderId="74" xfId="7" applyNumberFormat="1" applyFont="1" applyFill="1" applyBorder="1" applyAlignment="1">
      <alignment horizontal="right" vertical="center" wrapText="1"/>
    </xf>
    <xf numFmtId="164" fontId="22" fillId="3" borderId="8" xfId="7" applyNumberFormat="1" applyFont="1" applyFill="1" applyBorder="1" applyAlignment="1">
      <alignment horizontal="right" vertical="center" wrapText="1" indent="1"/>
    </xf>
    <xf numFmtId="164" fontId="2" fillId="5" borderId="40" xfId="7" applyNumberFormat="1" applyFont="1" applyFill="1" applyBorder="1" applyAlignment="1">
      <alignment horizontal="right" vertical="center" wrapText="1"/>
    </xf>
    <xf numFmtId="164" fontId="2" fillId="5" borderId="0" xfId="7" applyNumberFormat="1" applyFont="1" applyFill="1" applyAlignment="1">
      <alignment horizontal="right" vertical="center" wrapText="1"/>
    </xf>
    <xf numFmtId="164" fontId="2" fillId="5" borderId="75" xfId="7" applyNumberFormat="1" applyFont="1" applyFill="1" applyBorder="1" applyAlignment="1">
      <alignment horizontal="right" vertical="center" wrapText="1"/>
    </xf>
    <xf numFmtId="164" fontId="78" fillId="5" borderId="40" xfId="7" applyNumberFormat="1" applyFont="1" applyFill="1" applyBorder="1" applyAlignment="1">
      <alignment horizontal="right" vertical="center" wrapText="1"/>
    </xf>
    <xf numFmtId="164" fontId="78" fillId="5" borderId="0" xfId="7" applyNumberFormat="1" applyFont="1" applyFill="1" applyAlignment="1">
      <alignment horizontal="right" vertical="center" wrapText="1"/>
    </xf>
    <xf numFmtId="164" fontId="78" fillId="5" borderId="75" xfId="7" applyNumberFormat="1" applyFont="1" applyFill="1" applyBorder="1" applyAlignment="1">
      <alignment horizontal="right" vertical="center" wrapText="1"/>
    </xf>
    <xf numFmtId="164" fontId="12" fillId="5" borderId="98" xfId="7" applyNumberFormat="1" applyFont="1" applyFill="1" applyBorder="1" applyAlignment="1">
      <alignment horizontal="right" vertical="center" wrapText="1"/>
    </xf>
    <xf numFmtId="164" fontId="12" fillId="5" borderId="90" xfId="7" applyNumberFormat="1" applyFont="1" applyFill="1" applyBorder="1" applyAlignment="1">
      <alignment horizontal="right" vertical="center" wrapText="1"/>
    </xf>
    <xf numFmtId="164" fontId="12" fillId="5" borderId="91" xfId="7" applyNumberFormat="1" applyFont="1" applyFill="1" applyBorder="1" applyAlignment="1">
      <alignment horizontal="right" vertical="center" wrapText="1"/>
    </xf>
    <xf numFmtId="164" fontId="2" fillId="3" borderId="90" xfId="7" applyNumberFormat="1" applyFont="1" applyFill="1" applyBorder="1" applyAlignment="1">
      <alignment horizontal="right" vertical="center" wrapText="1" indent="1"/>
    </xf>
    <xf numFmtId="0" fontId="77" fillId="5" borderId="42" xfId="7" applyFont="1" applyFill="1" applyBorder="1" applyAlignment="1">
      <alignment vertical="center" wrapText="1"/>
    </xf>
    <xf numFmtId="49" fontId="77" fillId="5" borderId="0" xfId="7" applyNumberFormat="1" applyFont="1" applyFill="1" applyAlignment="1">
      <alignment horizontal="left" wrapText="1"/>
    </xf>
    <xf numFmtId="49" fontId="78" fillId="5" borderId="0" xfId="7" applyNumberFormat="1" applyFont="1" applyFill="1" applyAlignment="1">
      <alignment horizontal="left" vertical="center" wrapText="1"/>
    </xf>
    <xf numFmtId="49" fontId="85" fillId="5" borderId="0" xfId="7" applyNumberFormat="1" applyFont="1" applyFill="1" applyAlignment="1">
      <alignment horizontal="left" vertical="center" wrapText="1"/>
    </xf>
    <xf numFmtId="49" fontId="78" fillId="5" borderId="6" xfId="7" applyNumberFormat="1" applyFont="1" applyFill="1" applyBorder="1" applyAlignment="1">
      <alignment horizontal="left" vertical="center" wrapText="1"/>
    </xf>
    <xf numFmtId="49" fontId="77" fillId="5" borderId="8" xfId="7" applyNumberFormat="1" applyFont="1" applyFill="1" applyBorder="1" applyAlignment="1">
      <alignment horizontal="left" vertical="center" wrapText="1"/>
    </xf>
    <xf numFmtId="0" fontId="78" fillId="5" borderId="0" xfId="7" applyFont="1" applyFill="1" applyAlignment="1">
      <alignment horizontal="left" vertical="center" wrapText="1"/>
    </xf>
    <xf numFmtId="0" fontId="12" fillId="5" borderId="90" xfId="7" applyFont="1" applyFill="1" applyBorder="1" applyAlignment="1">
      <alignment horizontal="left" vertical="center" wrapText="1"/>
    </xf>
    <xf numFmtId="0" fontId="28" fillId="0" borderId="4" xfId="7" applyFont="1" applyBorder="1" applyAlignment="1">
      <alignment horizontal="center" vertical="center" wrapText="1"/>
    </xf>
    <xf numFmtId="0" fontId="32" fillId="0" borderId="5" xfId="14" applyFont="1" applyBorder="1" applyAlignment="1">
      <alignment horizontal="center" vertical="center"/>
    </xf>
    <xf numFmtId="0" fontId="23" fillId="0" borderId="0" xfId="7" applyAlignment="1">
      <alignment vertical="top" wrapText="1"/>
    </xf>
    <xf numFmtId="0" fontId="0" fillId="0" borderId="0" xfId="0" applyAlignment="1">
      <alignment vertical="top" wrapText="1"/>
    </xf>
    <xf numFmtId="0" fontId="10" fillId="5" borderId="0" xfId="0" applyFont="1" applyFill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49" fontId="10" fillId="5" borderId="26" xfId="0" applyNumberFormat="1" applyFont="1" applyFill="1" applyBorder="1" applyAlignment="1">
      <alignment horizontal="center" vertical="center" wrapText="1"/>
    </xf>
    <xf numFmtId="49" fontId="10" fillId="5" borderId="24" xfId="0" applyNumberFormat="1" applyFont="1" applyFill="1" applyBorder="1" applyAlignment="1">
      <alignment horizontal="center" vertical="center" wrapText="1"/>
    </xf>
    <xf numFmtId="49" fontId="10" fillId="5" borderId="25" xfId="0" applyNumberFormat="1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4" fillId="5" borderId="30" xfId="0" applyFont="1" applyFill="1" applyBorder="1" applyAlignment="1">
      <alignment horizontal="center" vertical="center" wrapText="1"/>
    </xf>
    <xf numFmtId="0" fontId="14" fillId="5" borderId="32" xfId="0" applyFont="1" applyFill="1" applyBorder="1" applyAlignment="1">
      <alignment horizontal="center" vertical="center" wrapText="1"/>
    </xf>
    <xf numFmtId="0" fontId="14" fillId="5" borderId="31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49" fontId="10" fillId="5" borderId="59" xfId="0" applyNumberFormat="1" applyFont="1" applyFill="1" applyBorder="1" applyAlignment="1">
      <alignment horizontal="center" vertical="center" wrapText="1"/>
    </xf>
    <xf numFmtId="49" fontId="10" fillId="5" borderId="60" xfId="0" applyNumberFormat="1" applyFont="1" applyFill="1" applyBorder="1" applyAlignment="1">
      <alignment horizontal="center" vertical="center" wrapText="1"/>
    </xf>
    <xf numFmtId="0" fontId="10" fillId="5" borderId="36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12" fillId="5" borderId="3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73" fillId="5" borderId="0" xfId="0" applyFont="1" applyFill="1" applyAlignment="1">
      <alignment horizontal="center" vertical="center" wrapText="1"/>
    </xf>
    <xf numFmtId="0" fontId="74" fillId="5" borderId="36" xfId="0" applyFont="1" applyFill="1" applyBorder="1" applyAlignment="1">
      <alignment horizontal="center" vertical="center" wrapText="1"/>
    </xf>
    <xf numFmtId="0" fontId="16" fillId="5" borderId="36" xfId="0" applyFont="1" applyFill="1" applyBorder="1" applyAlignment="1">
      <alignment horizontal="center" vertical="center" wrapText="1"/>
    </xf>
    <xf numFmtId="49" fontId="16" fillId="5" borderId="64" xfId="0" applyNumberFormat="1" applyFont="1" applyFill="1" applyBorder="1" applyAlignment="1">
      <alignment horizontal="center" vertical="center" wrapText="1"/>
    </xf>
    <xf numFmtId="49" fontId="16" fillId="5" borderId="60" xfId="0" applyNumberFormat="1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49" fontId="10" fillId="5" borderId="109" xfId="0" applyNumberFormat="1" applyFont="1" applyFill="1" applyBorder="1" applyAlignment="1">
      <alignment horizontal="center" vertical="center" wrapText="1"/>
    </xf>
    <xf numFmtId="49" fontId="10" fillId="5" borderId="110" xfId="0" applyNumberFormat="1" applyFont="1" applyFill="1" applyBorder="1" applyAlignment="1">
      <alignment horizontal="center" vertical="center" wrapText="1"/>
    </xf>
    <xf numFmtId="0" fontId="10" fillId="5" borderId="49" xfId="0" applyFont="1" applyFill="1" applyBorder="1" applyAlignment="1">
      <alignment horizontal="center" vertical="center" wrapText="1"/>
    </xf>
    <xf numFmtId="0" fontId="10" fillId="5" borderId="112" xfId="0" applyFont="1" applyFill="1" applyBorder="1" applyAlignment="1">
      <alignment horizontal="center" vertical="center" wrapText="1"/>
    </xf>
    <xf numFmtId="49" fontId="16" fillId="5" borderId="69" xfId="7" applyNumberFormat="1" applyFont="1" applyFill="1" applyBorder="1" applyAlignment="1">
      <alignment horizontal="center" vertical="center" wrapText="1"/>
    </xf>
    <xf numFmtId="49" fontId="16" fillId="5" borderId="70" xfId="7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9" fillId="5" borderId="77" xfId="0" applyFont="1" applyFill="1" applyBorder="1" applyAlignment="1">
      <alignment horizontal="center" vertical="center" wrapText="1"/>
    </xf>
    <xf numFmtId="0" fontId="12" fillId="5" borderId="77" xfId="0" applyFont="1" applyFill="1" applyBorder="1" applyAlignment="1">
      <alignment horizontal="center" vertical="center" wrapText="1"/>
    </xf>
    <xf numFmtId="0" fontId="12" fillId="5" borderId="78" xfId="0" applyFont="1" applyFill="1" applyBorder="1" applyAlignment="1">
      <alignment horizontal="center" vertical="center" wrapText="1"/>
    </xf>
    <xf numFmtId="0" fontId="46" fillId="7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49" fontId="61" fillId="5" borderId="52" xfId="0" applyNumberFormat="1" applyFont="1" applyFill="1" applyBorder="1" applyAlignment="1">
      <alignment horizontal="center" vertical="center" wrapText="1"/>
    </xf>
    <xf numFmtId="49" fontId="62" fillId="5" borderId="53" xfId="0" applyNumberFormat="1" applyFont="1" applyFill="1" applyBorder="1" applyAlignment="1">
      <alignment horizontal="center" vertical="center" wrapText="1"/>
    </xf>
    <xf numFmtId="49" fontId="62" fillId="5" borderId="54" xfId="0" applyNumberFormat="1" applyFont="1" applyFill="1" applyBorder="1" applyAlignment="1">
      <alignment horizontal="center" vertical="center" wrapText="1"/>
    </xf>
    <xf numFmtId="0" fontId="61" fillId="5" borderId="0" xfId="0" applyFont="1" applyFill="1" applyAlignment="1">
      <alignment horizontal="center" vertical="center" wrapText="1"/>
    </xf>
    <xf numFmtId="0" fontId="62" fillId="5" borderId="27" xfId="0" applyFont="1" applyFill="1" applyBorder="1" applyAlignment="1">
      <alignment horizontal="center" vertical="center" wrapText="1"/>
    </xf>
    <xf numFmtId="0" fontId="16" fillId="5" borderId="27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46" fillId="7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4" fillId="5" borderId="20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49" fontId="22" fillId="5" borderId="26" xfId="0" applyNumberFormat="1" applyFont="1" applyFill="1" applyBorder="1" applyAlignment="1">
      <alignment horizontal="center" vertical="center" wrapText="1"/>
    </xf>
    <xf numFmtId="49" fontId="22" fillId="5" borderId="25" xfId="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63" fillId="0" borderId="79" xfId="0" applyFont="1" applyBorder="1" applyAlignment="1">
      <alignment horizontal="left" vertical="center" wrapText="1"/>
    </xf>
    <xf numFmtId="49" fontId="64" fillId="5" borderId="81" xfId="7" applyNumberFormat="1" applyFont="1" applyFill="1" applyBorder="1" applyAlignment="1">
      <alignment horizontal="center" vertical="center" wrapText="1"/>
    </xf>
    <xf numFmtId="49" fontId="64" fillId="5" borderId="82" xfId="7" applyNumberFormat="1" applyFont="1" applyFill="1" applyBorder="1" applyAlignment="1">
      <alignment horizontal="center" vertical="center" wrapText="1"/>
    </xf>
    <xf numFmtId="49" fontId="64" fillId="5" borderId="83" xfId="7" applyNumberFormat="1" applyFont="1" applyFill="1" applyBorder="1" applyAlignment="1">
      <alignment horizontal="center" vertical="center" wrapText="1"/>
    </xf>
    <xf numFmtId="0" fontId="64" fillId="5" borderId="87" xfId="7" applyFont="1" applyFill="1" applyBorder="1" applyAlignment="1">
      <alignment horizontal="center" vertical="center" wrapText="1"/>
    </xf>
    <xf numFmtId="0" fontId="64" fillId="5" borderId="36" xfId="7" applyFont="1" applyFill="1" applyBorder="1" applyAlignment="1">
      <alignment horizontal="center" vertical="center" wrapText="1"/>
    </xf>
    <xf numFmtId="0" fontId="65" fillId="0" borderId="79" xfId="7" applyFont="1" applyBorder="1"/>
    <xf numFmtId="0" fontId="0" fillId="0" borderId="79" xfId="0" applyBorder="1"/>
    <xf numFmtId="49" fontId="64" fillId="5" borderId="93" xfId="7" applyNumberFormat="1" applyFont="1" applyFill="1" applyBorder="1" applyAlignment="1">
      <alignment horizontal="center" vertical="center" wrapText="1"/>
    </xf>
    <xf numFmtId="49" fontId="18" fillId="5" borderId="87" xfId="7" applyNumberFormat="1" applyFont="1" applyFill="1" applyBorder="1" applyAlignment="1">
      <alignment horizontal="center" vertical="center" wrapText="1"/>
    </xf>
    <xf numFmtId="49" fontId="18" fillId="5" borderId="80" xfId="7" applyNumberFormat="1" applyFont="1" applyFill="1" applyBorder="1" applyAlignment="1">
      <alignment horizontal="center" vertical="center" wrapText="1"/>
    </xf>
    <xf numFmtId="49" fontId="64" fillId="5" borderId="87" xfId="7" applyNumberFormat="1" applyFont="1" applyFill="1" applyBorder="1" applyAlignment="1">
      <alignment horizontal="center" vertical="center" wrapText="1"/>
    </xf>
    <xf numFmtId="0" fontId="64" fillId="5" borderId="80" xfId="7" applyFont="1" applyFill="1" applyBorder="1" applyAlignment="1">
      <alignment horizontal="center" vertical="center" wrapText="1"/>
    </xf>
    <xf numFmtId="0" fontId="64" fillId="5" borderId="38" xfId="7" applyFont="1" applyFill="1" applyBorder="1" applyAlignment="1">
      <alignment horizontal="center" vertical="center" wrapText="1"/>
    </xf>
    <xf numFmtId="0" fontId="57" fillId="5" borderId="41" xfId="7" applyFont="1" applyFill="1" applyBorder="1" applyAlignment="1">
      <alignment horizontal="center" vertical="center" wrapText="1"/>
    </xf>
    <xf numFmtId="49" fontId="16" fillId="5" borderId="81" xfId="7" applyNumberFormat="1" applyFont="1" applyFill="1" applyBorder="1" applyAlignment="1">
      <alignment horizontal="center" vertical="center" wrapText="1"/>
    </xf>
    <xf numFmtId="49" fontId="16" fillId="5" borderId="82" xfId="7" applyNumberFormat="1" applyFont="1" applyFill="1" applyBorder="1" applyAlignment="1">
      <alignment horizontal="center" vertical="center" wrapText="1"/>
    </xf>
    <xf numFmtId="49" fontId="16" fillId="5" borderId="83" xfId="7" applyNumberFormat="1" applyFont="1" applyFill="1" applyBorder="1" applyAlignment="1">
      <alignment horizontal="center" vertical="center" wrapText="1"/>
    </xf>
    <xf numFmtId="0" fontId="16" fillId="5" borderId="82" xfId="7" applyFont="1" applyFill="1" applyBorder="1" applyAlignment="1">
      <alignment horizontal="center" vertical="center" wrapText="1"/>
    </xf>
    <xf numFmtId="0" fontId="69" fillId="0" borderId="100" xfId="7" applyFont="1" applyBorder="1" applyAlignment="1">
      <alignment wrapText="1"/>
    </xf>
    <xf numFmtId="0" fontId="0" fillId="0" borderId="100" xfId="0" applyBorder="1"/>
    <xf numFmtId="0" fontId="21" fillId="5" borderId="12" xfId="3" applyFont="1" applyFill="1" applyBorder="1" applyAlignment="1">
      <alignment horizontal="center" vertical="center" wrapText="1"/>
    </xf>
    <xf numFmtId="0" fontId="21" fillId="5" borderId="10" xfId="3" applyFont="1" applyFill="1" applyBorder="1" applyAlignment="1">
      <alignment horizontal="center" vertical="center" wrapText="1"/>
    </xf>
    <xf numFmtId="0" fontId="47" fillId="5" borderId="18" xfId="3" applyFont="1" applyFill="1" applyBorder="1" applyAlignment="1">
      <alignment horizontal="center" vertical="center" wrapText="1"/>
    </xf>
    <xf numFmtId="0" fontId="47" fillId="5" borderId="29" xfId="3" applyFont="1" applyFill="1" applyBorder="1" applyAlignment="1">
      <alignment horizontal="center" vertical="center" wrapText="1"/>
    </xf>
    <xf numFmtId="49" fontId="21" fillId="5" borderId="26" xfId="3" applyNumberFormat="1" applyFont="1" applyFill="1" applyBorder="1" applyAlignment="1">
      <alignment horizontal="center" vertical="center" wrapText="1"/>
    </xf>
    <xf numFmtId="49" fontId="21" fillId="5" borderId="24" xfId="3" applyNumberFormat="1" applyFont="1" applyFill="1" applyBorder="1" applyAlignment="1">
      <alignment horizontal="center" vertical="center" wrapText="1"/>
    </xf>
    <xf numFmtId="49" fontId="21" fillId="5" borderId="25" xfId="3" applyNumberFormat="1" applyFont="1" applyFill="1" applyBorder="1" applyAlignment="1">
      <alignment horizontal="center" vertical="center" wrapText="1"/>
    </xf>
    <xf numFmtId="0" fontId="47" fillId="5" borderId="17" xfId="3" applyFont="1" applyFill="1" applyBorder="1" applyAlignment="1">
      <alignment horizontal="center" vertical="center" wrapText="1"/>
    </xf>
    <xf numFmtId="0" fontId="69" fillId="0" borderId="100" xfId="7" applyFont="1" applyBorder="1"/>
    <xf numFmtId="49" fontId="21" fillId="5" borderId="101" xfId="3" applyNumberFormat="1" applyFont="1" applyFill="1" applyBorder="1" applyAlignment="1">
      <alignment horizontal="center" vertical="center" wrapText="1"/>
    </xf>
    <xf numFmtId="49" fontId="21" fillId="5" borderId="102" xfId="3" applyNumberFormat="1" applyFont="1" applyFill="1" applyBorder="1" applyAlignment="1">
      <alignment horizontal="center" vertical="center" wrapText="1"/>
    </xf>
    <xf numFmtId="49" fontId="21" fillId="5" borderId="103" xfId="3" applyNumberFormat="1" applyFont="1" applyFill="1" applyBorder="1" applyAlignment="1">
      <alignment horizontal="center" vertical="center" wrapText="1"/>
    </xf>
    <xf numFmtId="0" fontId="47" fillId="5" borderId="104" xfId="3" applyFont="1" applyFill="1" applyBorder="1" applyAlignment="1">
      <alignment horizontal="center" vertical="center" wrapText="1"/>
    </xf>
    <xf numFmtId="0" fontId="21" fillId="5" borderId="0" xfId="3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49" fontId="22" fillId="0" borderId="157" xfId="0" applyNumberFormat="1" applyFont="1" applyBorder="1" applyAlignment="1">
      <alignment horizontal="center" vertical="center"/>
    </xf>
    <xf numFmtId="49" fontId="22" fillId="0" borderId="158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4" fillId="5" borderId="20" xfId="7" applyFont="1" applyFill="1" applyBorder="1" applyAlignment="1">
      <alignment horizontal="center" vertical="center" wrapText="1"/>
    </xf>
    <xf numFmtId="0" fontId="14" fillId="5" borderId="19" xfId="7" applyFont="1" applyFill="1" applyBorder="1" applyAlignment="1">
      <alignment horizontal="center" vertical="center" wrapText="1"/>
    </xf>
    <xf numFmtId="0" fontId="10" fillId="5" borderId="0" xfId="7" applyFont="1" applyFill="1" applyAlignment="1">
      <alignment horizontal="center" vertical="center" wrapText="1"/>
    </xf>
    <xf numFmtId="0" fontId="10" fillId="5" borderId="11" xfId="7" applyFont="1" applyFill="1" applyBorder="1" applyAlignment="1">
      <alignment horizontal="center" vertical="center" wrapText="1"/>
    </xf>
    <xf numFmtId="49" fontId="10" fillId="5" borderId="11" xfId="7" applyNumberFormat="1" applyFont="1" applyFill="1" applyBorder="1" applyAlignment="1">
      <alignment horizontal="center" vertical="center" wrapText="1"/>
    </xf>
    <xf numFmtId="49" fontId="10" fillId="5" borderId="10" xfId="7" applyNumberFormat="1" applyFont="1" applyFill="1" applyBorder="1" applyAlignment="1">
      <alignment horizontal="center" vertical="center" wrapText="1"/>
    </xf>
    <xf numFmtId="49" fontId="10" fillId="5" borderId="19" xfId="7" applyNumberFormat="1" applyFont="1" applyFill="1" applyBorder="1" applyAlignment="1">
      <alignment horizontal="center" vertical="center" wrapText="1"/>
    </xf>
    <xf numFmtId="0" fontId="70" fillId="3" borderId="100" xfId="7" applyFont="1" applyFill="1" applyBorder="1" applyAlignment="1">
      <alignment horizontal="left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22" fillId="5" borderId="120" xfId="0" applyFont="1" applyFill="1" applyBorder="1" applyAlignment="1">
      <alignment horizontal="center" vertical="center" wrapText="1"/>
    </xf>
    <xf numFmtId="49" fontId="22" fillId="5" borderId="121" xfId="0" applyNumberFormat="1" applyFont="1" applyFill="1" applyBorder="1" applyAlignment="1">
      <alignment horizontal="center" vertical="center" wrapText="1"/>
    </xf>
    <xf numFmtId="49" fontId="2" fillId="5" borderId="121" xfId="0" applyNumberFormat="1" applyFont="1" applyFill="1" applyBorder="1" applyAlignment="1">
      <alignment horizontal="center" vertical="center" wrapText="1"/>
    </xf>
    <xf numFmtId="49" fontId="2" fillId="5" borderId="122" xfId="0" applyNumberFormat="1" applyFont="1" applyFill="1" applyBorder="1" applyAlignment="1">
      <alignment horizontal="center" vertical="center" wrapText="1"/>
    </xf>
    <xf numFmtId="0" fontId="22" fillId="5" borderId="107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9" fillId="5" borderId="117" xfId="0" applyFont="1" applyFill="1" applyBorder="1" applyAlignment="1">
      <alignment horizontal="center" vertical="center" wrapText="1"/>
    </xf>
    <xf numFmtId="0" fontId="9" fillId="5" borderId="118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</cellXfs>
  <cellStyles count="39">
    <cellStyle name="=C:\WINNT35\SYSTEM32\COMMAND.COM" xfId="37" xr:uid="{5DAF630D-B3C4-4934-976B-6BB262DCB097}"/>
    <cellStyle name="Comma 2" xfId="4" xr:uid="{00000000-0005-0000-0000-000000000000}"/>
    <cellStyle name="Comma 3" xfId="5" xr:uid="{00000000-0005-0000-0000-000001000000}"/>
    <cellStyle name="Good 2 2" xfId="35" xr:uid="{6E1FA7E7-0EEE-475A-97F1-57F81C6B03FB}"/>
    <cellStyle name="Hyperlink" xfId="1" builtinId="8"/>
    <cellStyle name="Hyperlink 2" xfId="8" xr:uid="{00000000-0005-0000-0000-000003000000}"/>
    <cellStyle name="Hyperlink 3" xfId="32" xr:uid="{998E5F45-DB37-4368-AAB8-0039BE9F4E97}"/>
    <cellStyle name="Normal" xfId="0" builtinId="0"/>
    <cellStyle name="Normal 10" xfId="24" xr:uid="{5D1FE4AA-26BC-4A22-940A-FBFF561C8366}"/>
    <cellStyle name="Normal 10 10 2" xfId="30" xr:uid="{C4FDAB1A-57F5-47C5-AA81-15F533EC9B57}"/>
    <cellStyle name="Normal 12 2" xfId="20" xr:uid="{4290C669-7E3F-4882-9715-1579B8B8ED1E}"/>
    <cellStyle name="Normal 2" xfId="3" xr:uid="{00000000-0005-0000-0000-000005000000}"/>
    <cellStyle name="Normal 2 2" xfId="9" xr:uid="{00000000-0005-0000-0000-000006000000}"/>
    <cellStyle name="Normal 2 2 2" xfId="17" xr:uid="{00000000-0005-0000-0000-000007000000}"/>
    <cellStyle name="Normal 2 2 4" xfId="38" xr:uid="{A20BFF53-E2D8-4577-96E6-3E9E60A9F8EB}"/>
    <cellStyle name="Normal 2 3" xfId="28" xr:uid="{E8F29490-083A-4D4B-A520-02652DACB25F}"/>
    <cellStyle name="Normal 2 4" xfId="25" xr:uid="{B338F72C-5795-423F-8665-93469690A054}"/>
    <cellStyle name="Normal 3" xfId="6" xr:uid="{00000000-0005-0000-0000-000008000000}"/>
    <cellStyle name="Normal 3 2" xfId="10" xr:uid="{00000000-0005-0000-0000-000009000000}"/>
    <cellStyle name="Normal 3 3" xfId="11" xr:uid="{00000000-0005-0000-0000-00000A000000}"/>
    <cellStyle name="Normal 3 3 2" xfId="12" xr:uid="{00000000-0005-0000-0000-00000B000000}"/>
    <cellStyle name="Normal 4" xfId="7" xr:uid="{00000000-0005-0000-0000-00000C000000}"/>
    <cellStyle name="Normal 4 2" xfId="14" xr:uid="{00000000-0005-0000-0000-00000D000000}"/>
    <cellStyle name="Normal 4 3" xfId="29" xr:uid="{717A0739-512F-490E-8C9E-E48BABE3403B}"/>
    <cellStyle name="Normal 5" xfId="13" xr:uid="{00000000-0005-0000-0000-00000E000000}"/>
    <cellStyle name="Normal 5 2" xfId="15" xr:uid="{00000000-0005-0000-0000-00000F000000}"/>
    <cellStyle name="Normal 6" xfId="16" xr:uid="{00000000-0005-0000-0000-000010000000}"/>
    <cellStyle name="Normal 7" xfId="18" xr:uid="{00000000-0005-0000-0000-000011000000}"/>
    <cellStyle name="Normal 8" xfId="21" xr:uid="{425F6D90-8BC0-47D7-9552-8D47D8D6524D}"/>
    <cellStyle name="Normal 8 2" xfId="22" xr:uid="{00FDAC0D-8A72-4CA9-A994-C2536FDB902B}"/>
    <cellStyle name="Normal 9" xfId="23" xr:uid="{A6FB856E-7B73-488D-8190-ED41493F4CE7}"/>
    <cellStyle name="Normal 9 8 2 2 2" xfId="36" xr:uid="{208824C6-A441-4E07-97D8-CB8304D96368}"/>
    <cellStyle name="Obično_standardizirani pristup_izvješće  RV 01.02.2008." xfId="27" xr:uid="{4EA79E69-3BAD-49FC-A11B-7498A2B8D947}"/>
    <cellStyle name="Percent" xfId="2" builtinId="5"/>
    <cellStyle name="Percent 10" xfId="34" xr:uid="{AE7D53BA-3ADD-45E8-A327-D56D453E9EE3}"/>
    <cellStyle name="Percent 2" xfId="19" xr:uid="{00000000-0005-0000-0000-000013000000}"/>
    <cellStyle name="Percent 2 10 2 2" xfId="31" xr:uid="{8A829D8D-4B7D-4CC4-9ADC-3A5DAF4EA899}"/>
    <cellStyle name="Percent 2 2" xfId="33" xr:uid="{A88E6F10-F206-4597-B293-5ED4EE78072F}"/>
    <cellStyle name="Standard 3" xfId="26" xr:uid="{B976B9B0-D525-447C-AA99-883A3A3FD061}"/>
  </cellStyles>
  <dxfs count="7">
    <dxf>
      <font>
        <color auto="1"/>
      </font>
    </dxf>
    <dxf>
      <font>
        <color rgb="FF00B050"/>
      </font>
    </dxf>
    <dxf>
      <font>
        <color rgb="FFC00000"/>
      </font>
    </dxf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</dxfs>
  <tableStyles count="0" defaultTableStyle="TableStyleMedium9" defaultPivotStyle="PivotStyleLight16"/>
  <colors>
    <mruColors>
      <color rgb="FFFF4B4B"/>
      <color rgb="FFFF6565"/>
      <color rgb="FFFABF8F"/>
      <color rgb="FFFFFFCC"/>
      <color rgb="FF0000FF"/>
      <color rgb="FFFFFF99"/>
      <color rgb="FF800000"/>
      <color rgb="FFC4C13F"/>
      <color rgb="FFDADF21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Tabele!A55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254000</xdr:colOff>
      <xdr:row>1</xdr:row>
      <xdr:rowOff>57150</xdr:rowOff>
    </xdr:from>
    <xdr:to>
      <xdr:col>6</xdr:col>
      <xdr:colOff>558800</xdr:colOff>
      <xdr:row>2</xdr:row>
      <xdr:rowOff>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5159375" y="2476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</xdr:row>
      <xdr:rowOff>40409</xdr:rowOff>
    </xdr:from>
    <xdr:to>
      <xdr:col>10</xdr:col>
      <xdr:colOff>495300</xdr:colOff>
      <xdr:row>1</xdr:row>
      <xdr:rowOff>173759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5000-000003000000}"/>
            </a:ext>
          </a:extLst>
        </xdr:cNvPr>
        <xdr:cNvSpPr/>
      </xdr:nvSpPr>
      <xdr:spPr>
        <a:xfrm>
          <a:off x="7019636" y="40409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215900</xdr:colOff>
      <xdr:row>1</xdr:row>
      <xdr:rowOff>35560</xdr:rowOff>
    </xdr:from>
    <xdr:to>
      <xdr:col>13</xdr:col>
      <xdr:colOff>520700</xdr:colOff>
      <xdr:row>1</xdr:row>
      <xdr:rowOff>167640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5600-000003000000}"/>
            </a:ext>
          </a:extLst>
        </xdr:cNvPr>
        <xdr:cNvSpPr/>
      </xdr:nvSpPr>
      <xdr:spPr>
        <a:xfrm>
          <a:off x="6822440" y="35560"/>
          <a:ext cx="304800" cy="13208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217170</xdr:colOff>
      <xdr:row>1</xdr:row>
      <xdr:rowOff>26670</xdr:rowOff>
    </xdr:from>
    <xdr:to>
      <xdr:col>13</xdr:col>
      <xdr:colOff>521970</xdr:colOff>
      <xdr:row>1</xdr:row>
      <xdr:rowOff>160020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5900-000003000000}"/>
            </a:ext>
          </a:extLst>
        </xdr:cNvPr>
        <xdr:cNvSpPr/>
      </xdr:nvSpPr>
      <xdr:spPr>
        <a:xfrm>
          <a:off x="6976110" y="2667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231140</xdr:colOff>
      <xdr:row>1</xdr:row>
      <xdr:rowOff>22860</xdr:rowOff>
    </xdr:from>
    <xdr:to>
      <xdr:col>13</xdr:col>
      <xdr:colOff>535940</xdr:colOff>
      <xdr:row>1</xdr:row>
      <xdr:rowOff>156210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5C00-000003000000}"/>
            </a:ext>
          </a:extLst>
        </xdr:cNvPr>
        <xdr:cNvSpPr/>
      </xdr:nvSpPr>
      <xdr:spPr>
        <a:xfrm>
          <a:off x="7424420" y="2286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1</xdr:row>
      <xdr:rowOff>38100</xdr:rowOff>
    </xdr:from>
    <xdr:to>
      <xdr:col>7</xdr:col>
      <xdr:colOff>514350</xdr:colOff>
      <xdr:row>1</xdr:row>
      <xdr:rowOff>171450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5F00-000003000000}"/>
            </a:ext>
          </a:extLst>
        </xdr:cNvPr>
        <xdr:cNvSpPr/>
      </xdr:nvSpPr>
      <xdr:spPr>
        <a:xfrm>
          <a:off x="5981700" y="381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2</xdr:row>
      <xdr:rowOff>63500</xdr:rowOff>
    </xdr:from>
    <xdr:to>
      <xdr:col>6</xdr:col>
      <xdr:colOff>457200</xdr:colOff>
      <xdr:row>3</xdr:row>
      <xdr:rowOff>25400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6200-000003000000}"/>
            </a:ext>
          </a:extLst>
        </xdr:cNvPr>
        <xdr:cNvSpPr/>
      </xdr:nvSpPr>
      <xdr:spPr>
        <a:xfrm>
          <a:off x="5905500" y="63500"/>
          <a:ext cx="304800" cy="11430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216535</xdr:colOff>
      <xdr:row>0</xdr:row>
      <xdr:rowOff>74930</xdr:rowOff>
    </xdr:from>
    <xdr:to>
      <xdr:col>6</xdr:col>
      <xdr:colOff>521335</xdr:colOff>
      <xdr:row>1</xdr:row>
      <xdr:rowOff>55880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6500-000002000000}"/>
            </a:ext>
          </a:extLst>
        </xdr:cNvPr>
        <xdr:cNvSpPr/>
      </xdr:nvSpPr>
      <xdr:spPr>
        <a:xfrm>
          <a:off x="6188710" y="7493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203200</xdr:colOff>
      <xdr:row>0</xdr:row>
      <xdr:rowOff>12700</xdr:rowOff>
    </xdr:from>
    <xdr:to>
      <xdr:col>6</xdr:col>
      <xdr:colOff>508000</xdr:colOff>
      <xdr:row>0</xdr:row>
      <xdr:rowOff>146050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6800-000003000000}"/>
            </a:ext>
          </a:extLst>
        </xdr:cNvPr>
        <xdr:cNvSpPr/>
      </xdr:nvSpPr>
      <xdr:spPr>
        <a:xfrm>
          <a:off x="6216650" y="127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154516</xdr:colOff>
      <xdr:row>3</xdr:row>
      <xdr:rowOff>14817</xdr:rowOff>
    </xdr:from>
    <xdr:to>
      <xdr:col>10</xdr:col>
      <xdr:colOff>459316</xdr:colOff>
      <xdr:row>3</xdr:row>
      <xdr:rowOff>148167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6B00-000003000000}"/>
            </a:ext>
          </a:extLst>
        </xdr:cNvPr>
        <xdr:cNvSpPr/>
      </xdr:nvSpPr>
      <xdr:spPr>
        <a:xfrm>
          <a:off x="6102349" y="554567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2</xdr:row>
      <xdr:rowOff>38100</xdr:rowOff>
    </xdr:from>
    <xdr:to>
      <xdr:col>10</xdr:col>
      <xdr:colOff>438150</xdr:colOff>
      <xdr:row>2</xdr:row>
      <xdr:rowOff>171450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6E00-000003000000}"/>
            </a:ext>
          </a:extLst>
        </xdr:cNvPr>
        <xdr:cNvSpPr/>
      </xdr:nvSpPr>
      <xdr:spPr>
        <a:xfrm>
          <a:off x="6153150" y="2222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190500</xdr:colOff>
      <xdr:row>0</xdr:row>
      <xdr:rowOff>31750</xdr:rowOff>
    </xdr:from>
    <xdr:to>
      <xdr:col>9</xdr:col>
      <xdr:colOff>495300</xdr:colOff>
      <xdr:row>0</xdr:row>
      <xdr:rowOff>165100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6102350" y="317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127000</xdr:colOff>
      <xdr:row>3</xdr:row>
      <xdr:rowOff>6350</xdr:rowOff>
    </xdr:from>
    <xdr:to>
      <xdr:col>10</xdr:col>
      <xdr:colOff>431800</xdr:colOff>
      <xdr:row>3</xdr:row>
      <xdr:rowOff>139700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7100-000003000000}"/>
            </a:ext>
          </a:extLst>
        </xdr:cNvPr>
        <xdr:cNvSpPr/>
      </xdr:nvSpPr>
      <xdr:spPr>
        <a:xfrm>
          <a:off x="5975350" y="3746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1</xdr:row>
      <xdr:rowOff>34925</xdr:rowOff>
    </xdr:from>
    <xdr:to>
      <xdr:col>9</xdr:col>
      <xdr:colOff>428625</xdr:colOff>
      <xdr:row>2</xdr:row>
      <xdr:rowOff>15875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7D00-000003000000}"/>
            </a:ext>
          </a:extLst>
        </xdr:cNvPr>
        <xdr:cNvSpPr/>
      </xdr:nvSpPr>
      <xdr:spPr>
        <a:xfrm>
          <a:off x="5826125" y="225425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184150</xdr:colOff>
      <xdr:row>1</xdr:row>
      <xdr:rowOff>66675</xdr:rowOff>
    </xdr:from>
    <xdr:to>
      <xdr:col>9</xdr:col>
      <xdr:colOff>488950</xdr:colOff>
      <xdr:row>2</xdr:row>
      <xdr:rowOff>47625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8000-000003000000}"/>
            </a:ext>
          </a:extLst>
        </xdr:cNvPr>
        <xdr:cNvSpPr/>
      </xdr:nvSpPr>
      <xdr:spPr>
        <a:xfrm>
          <a:off x="5600700" y="257175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1</xdr:row>
      <xdr:rowOff>63500</xdr:rowOff>
    </xdr:from>
    <xdr:to>
      <xdr:col>9</xdr:col>
      <xdr:colOff>447675</xdr:colOff>
      <xdr:row>2</xdr:row>
      <xdr:rowOff>44450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8300-000003000000}"/>
            </a:ext>
          </a:extLst>
        </xdr:cNvPr>
        <xdr:cNvSpPr/>
      </xdr:nvSpPr>
      <xdr:spPr>
        <a:xfrm>
          <a:off x="5743575" y="2540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213995</xdr:colOff>
      <xdr:row>0</xdr:row>
      <xdr:rowOff>20955</xdr:rowOff>
    </xdr:from>
    <xdr:to>
      <xdr:col>5</xdr:col>
      <xdr:colOff>495935</xdr:colOff>
      <xdr:row>0</xdr:row>
      <xdr:rowOff>161925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8600-000003000000}"/>
            </a:ext>
          </a:extLst>
        </xdr:cNvPr>
        <xdr:cNvSpPr/>
      </xdr:nvSpPr>
      <xdr:spPr>
        <a:xfrm>
          <a:off x="4915535" y="20955"/>
          <a:ext cx="281940" cy="14097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91016</xdr:colOff>
      <xdr:row>2</xdr:row>
      <xdr:rowOff>59267</xdr:rowOff>
    </xdr:from>
    <xdr:to>
      <xdr:col>5</xdr:col>
      <xdr:colOff>395816</xdr:colOff>
      <xdr:row>3</xdr:row>
      <xdr:rowOff>12700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8A00-000003000000}"/>
            </a:ext>
          </a:extLst>
        </xdr:cNvPr>
        <xdr:cNvSpPr/>
      </xdr:nvSpPr>
      <xdr:spPr>
        <a:xfrm>
          <a:off x="5806016" y="4191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273050</xdr:colOff>
      <xdr:row>0</xdr:row>
      <xdr:rowOff>31750</xdr:rowOff>
    </xdr:from>
    <xdr:to>
      <xdr:col>6</xdr:col>
      <xdr:colOff>577850</xdr:colOff>
      <xdr:row>0</xdr:row>
      <xdr:rowOff>165100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8D00-000003000000}"/>
            </a:ext>
          </a:extLst>
        </xdr:cNvPr>
        <xdr:cNvSpPr/>
      </xdr:nvSpPr>
      <xdr:spPr>
        <a:xfrm>
          <a:off x="6223000" y="317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65617</xdr:colOff>
      <xdr:row>2</xdr:row>
      <xdr:rowOff>48684</xdr:rowOff>
    </xdr:from>
    <xdr:to>
      <xdr:col>5</xdr:col>
      <xdr:colOff>370417</xdr:colOff>
      <xdr:row>3</xdr:row>
      <xdr:rowOff>2117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9000-000003000000}"/>
            </a:ext>
          </a:extLst>
        </xdr:cNvPr>
        <xdr:cNvSpPr/>
      </xdr:nvSpPr>
      <xdr:spPr>
        <a:xfrm>
          <a:off x="5992284" y="408517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184150</xdr:colOff>
      <xdr:row>0</xdr:row>
      <xdr:rowOff>50800</xdr:rowOff>
    </xdr:from>
    <xdr:to>
      <xdr:col>6</xdr:col>
      <xdr:colOff>488950</xdr:colOff>
      <xdr:row>1</xdr:row>
      <xdr:rowOff>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9300-000003000000}"/>
            </a:ext>
          </a:extLst>
        </xdr:cNvPr>
        <xdr:cNvSpPr/>
      </xdr:nvSpPr>
      <xdr:spPr>
        <a:xfrm>
          <a:off x="7080250" y="50800"/>
          <a:ext cx="304800" cy="13970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184150</xdr:colOff>
      <xdr:row>0</xdr:row>
      <xdr:rowOff>50800</xdr:rowOff>
    </xdr:from>
    <xdr:to>
      <xdr:col>6</xdr:col>
      <xdr:colOff>488950</xdr:colOff>
      <xdr:row>1</xdr:row>
      <xdr:rowOff>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9C00-000002000000}"/>
            </a:ext>
          </a:extLst>
        </xdr:cNvPr>
        <xdr:cNvSpPr/>
      </xdr:nvSpPr>
      <xdr:spPr>
        <a:xfrm>
          <a:off x="7217410" y="50800"/>
          <a:ext cx="304800" cy="13208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1</xdr:row>
      <xdr:rowOff>38100</xdr:rowOff>
    </xdr:from>
    <xdr:to>
      <xdr:col>4</xdr:col>
      <xdr:colOff>514350</xdr:colOff>
      <xdr:row>1</xdr:row>
      <xdr:rowOff>171450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SpPr/>
      </xdr:nvSpPr>
      <xdr:spPr>
        <a:xfrm>
          <a:off x="4502150" y="2222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101600</xdr:colOff>
      <xdr:row>2</xdr:row>
      <xdr:rowOff>19050</xdr:rowOff>
    </xdr:from>
    <xdr:to>
      <xdr:col>9</xdr:col>
      <xdr:colOff>406400</xdr:colOff>
      <xdr:row>2</xdr:row>
      <xdr:rowOff>152400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9F00-000002000000}"/>
            </a:ext>
          </a:extLst>
        </xdr:cNvPr>
        <xdr:cNvSpPr/>
      </xdr:nvSpPr>
      <xdr:spPr>
        <a:xfrm>
          <a:off x="5721350" y="3873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158750</xdr:colOff>
      <xdr:row>0</xdr:row>
      <xdr:rowOff>63500</xdr:rowOff>
    </xdr:from>
    <xdr:to>
      <xdr:col>4</xdr:col>
      <xdr:colOff>463550</xdr:colOff>
      <xdr:row>1</xdr:row>
      <xdr:rowOff>12700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A200-000002000000}"/>
            </a:ext>
          </a:extLst>
        </xdr:cNvPr>
        <xdr:cNvSpPr/>
      </xdr:nvSpPr>
      <xdr:spPr>
        <a:xfrm>
          <a:off x="5759450" y="635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130175</xdr:colOff>
      <xdr:row>1</xdr:row>
      <xdr:rowOff>44450</xdr:rowOff>
    </xdr:from>
    <xdr:to>
      <xdr:col>9</xdr:col>
      <xdr:colOff>434975</xdr:colOff>
      <xdr:row>1</xdr:row>
      <xdr:rowOff>158750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A500-000003000000}"/>
            </a:ext>
          </a:extLst>
        </xdr:cNvPr>
        <xdr:cNvSpPr/>
      </xdr:nvSpPr>
      <xdr:spPr>
        <a:xfrm>
          <a:off x="5984875" y="196850"/>
          <a:ext cx="304800" cy="11430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254000</xdr:colOff>
      <xdr:row>0</xdr:row>
      <xdr:rowOff>57150</xdr:rowOff>
    </xdr:from>
    <xdr:to>
      <xdr:col>10</xdr:col>
      <xdr:colOff>558800</xdr:colOff>
      <xdr:row>1</xdr:row>
      <xdr:rowOff>6350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B700-000003000000}"/>
            </a:ext>
          </a:extLst>
        </xdr:cNvPr>
        <xdr:cNvSpPr/>
      </xdr:nvSpPr>
      <xdr:spPr>
        <a:xfrm>
          <a:off x="9766300" y="571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156210</xdr:colOff>
      <xdr:row>0</xdr:row>
      <xdr:rowOff>76200</xdr:rowOff>
    </xdr:from>
    <xdr:to>
      <xdr:col>9</xdr:col>
      <xdr:colOff>461010</xdr:colOff>
      <xdr:row>1</xdr:row>
      <xdr:rowOff>57150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BA00-000003000000}"/>
            </a:ext>
          </a:extLst>
        </xdr:cNvPr>
        <xdr:cNvSpPr/>
      </xdr:nvSpPr>
      <xdr:spPr>
        <a:xfrm>
          <a:off x="6869430" y="762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0</xdr:row>
      <xdr:rowOff>69850</xdr:rowOff>
    </xdr:from>
    <xdr:to>
      <xdr:col>11</xdr:col>
      <xdr:colOff>476250</xdr:colOff>
      <xdr:row>1</xdr:row>
      <xdr:rowOff>19050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BD00-000003000000}"/>
            </a:ext>
          </a:extLst>
        </xdr:cNvPr>
        <xdr:cNvSpPr/>
      </xdr:nvSpPr>
      <xdr:spPr>
        <a:xfrm>
          <a:off x="9302750" y="698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1</xdr:row>
      <xdr:rowOff>38100</xdr:rowOff>
    </xdr:from>
    <xdr:to>
      <xdr:col>8</xdr:col>
      <xdr:colOff>400050</xdr:colOff>
      <xdr:row>1</xdr:row>
      <xdr:rowOff>171450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/>
      </xdr:nvSpPr>
      <xdr:spPr>
        <a:xfrm>
          <a:off x="6619875" y="381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158750</xdr:colOff>
      <xdr:row>1</xdr:row>
      <xdr:rowOff>25400</xdr:rowOff>
    </xdr:from>
    <xdr:to>
      <xdr:col>8</xdr:col>
      <xdr:colOff>463550</xdr:colOff>
      <xdr:row>1</xdr:row>
      <xdr:rowOff>158750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SpPr/>
      </xdr:nvSpPr>
      <xdr:spPr>
        <a:xfrm>
          <a:off x="5861050" y="2095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101600</xdr:colOff>
      <xdr:row>2</xdr:row>
      <xdr:rowOff>38100</xdr:rowOff>
    </xdr:from>
    <xdr:to>
      <xdr:col>8</xdr:col>
      <xdr:colOff>406400</xdr:colOff>
      <xdr:row>2</xdr:row>
      <xdr:rowOff>171450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SpPr/>
      </xdr:nvSpPr>
      <xdr:spPr>
        <a:xfrm>
          <a:off x="5822950" y="2222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1</xdr:row>
      <xdr:rowOff>44450</xdr:rowOff>
    </xdr:from>
    <xdr:to>
      <xdr:col>5</xdr:col>
      <xdr:colOff>552450</xdr:colOff>
      <xdr:row>1</xdr:row>
      <xdr:rowOff>177800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SpPr/>
      </xdr:nvSpPr>
      <xdr:spPr>
        <a:xfrm>
          <a:off x="5746750" y="444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241300</xdr:colOff>
      <xdr:row>0</xdr:row>
      <xdr:rowOff>6350</xdr:rowOff>
    </xdr:from>
    <xdr:to>
      <xdr:col>7</xdr:col>
      <xdr:colOff>546100</xdr:colOff>
      <xdr:row>1</xdr:row>
      <xdr:rowOff>146050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C00-000003000000}"/>
            </a:ext>
          </a:extLst>
        </xdr:cNvPr>
        <xdr:cNvSpPr/>
      </xdr:nvSpPr>
      <xdr:spPr>
        <a:xfrm>
          <a:off x="5461000" y="6350"/>
          <a:ext cx="304800" cy="13970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234950</xdr:colOff>
      <xdr:row>1</xdr:row>
      <xdr:rowOff>44450</xdr:rowOff>
    </xdr:from>
    <xdr:to>
      <xdr:col>8</xdr:col>
      <xdr:colOff>539750</xdr:colOff>
      <xdr:row>1</xdr:row>
      <xdr:rowOff>177800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F00-000003000000}"/>
            </a:ext>
          </a:extLst>
        </xdr:cNvPr>
        <xdr:cNvSpPr/>
      </xdr:nvSpPr>
      <xdr:spPr>
        <a:xfrm>
          <a:off x="6877050" y="444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7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AC92AD2-55F6-41FF-B4A8-5BF93719E09E}">
  <we:reference id="wa104379177" version="1.0.0.1" store="en-US" storeType="OMEX"/>
  <we:alternateReferences>
    <we:reference id="wa104379177" version="1.0.0.1" store="wa104379177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4" Type="http://schemas.openxmlformats.org/officeDocument/2006/relationships/drawing" Target="../drawings/drawing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4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4" Type="http://schemas.openxmlformats.org/officeDocument/2006/relationships/drawing" Target="../drawings/drawing1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4" Type="http://schemas.openxmlformats.org/officeDocument/2006/relationships/drawing" Target="../drawings/drawing1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4" Type="http://schemas.openxmlformats.org/officeDocument/2006/relationships/drawing" Target="../drawings/drawing1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Relationship Id="rId4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3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45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46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47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4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4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50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51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4.bin"/><Relationship Id="rId2" Type="http://schemas.openxmlformats.org/officeDocument/2006/relationships/printerSettings" Target="../printerSettings/printerSettings53.bin"/><Relationship Id="rId1" Type="http://schemas.openxmlformats.org/officeDocument/2006/relationships/printerSettings" Target="../printerSettings/printerSettings52.bin"/><Relationship Id="rId4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7.bin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Relationship Id="rId4" Type="http://schemas.openxmlformats.org/officeDocument/2006/relationships/drawing" Target="../drawings/drawing25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Relationship Id="rId4" Type="http://schemas.openxmlformats.org/officeDocument/2006/relationships/drawing" Target="../drawings/drawing26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6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6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6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6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6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6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6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6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6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4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12889-83C5-449E-92F1-EFDF35B594A5}">
  <sheetPr codeName="Sheet1"/>
  <dimension ref="A1:FQ19"/>
  <sheetViews>
    <sheetView showGridLines="0" tabSelected="1" zoomScaleNormal="100" workbookViewId="0">
      <selection activeCell="D22" sqref="D22"/>
    </sheetView>
  </sheetViews>
  <sheetFormatPr defaultColWidth="9.109375" defaultRowHeight="14.4" x14ac:dyDescent="0.3"/>
  <cols>
    <col min="1" max="1" width="12.109375" style="26" customWidth="1"/>
    <col min="2" max="2" width="15" style="26" customWidth="1"/>
    <col min="3" max="3" width="56.109375" style="26" customWidth="1"/>
    <col min="4" max="4" width="13.5546875" style="26" customWidth="1"/>
    <col min="5" max="5" width="13.6640625" style="26" customWidth="1"/>
    <col min="6" max="7" width="9.109375" style="26"/>
    <col min="8" max="8" width="6.88671875" style="26" customWidth="1"/>
    <col min="9" max="9" width="4.6640625" style="26" customWidth="1"/>
    <col min="10" max="10" width="2.88671875" style="26" customWidth="1"/>
    <col min="11" max="16384" width="9.109375" style="26"/>
  </cols>
  <sheetData>
    <row r="1" spans="1:173" ht="25.5" customHeight="1" thickBot="1" x14ac:dyDescent="0.35">
      <c r="A1" s="747" t="s">
        <v>127</v>
      </c>
      <c r="B1" s="747"/>
      <c r="C1" s="747"/>
      <c r="D1" s="747"/>
      <c r="E1" s="747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1:173" ht="15" thickTop="1" x14ac:dyDescent="0.3"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</row>
    <row r="3" spans="1:173" x14ac:dyDescent="0.3"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</row>
    <row r="4" spans="1:173" ht="15.6" x14ac:dyDescent="0.3">
      <c r="H4" s="12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</row>
    <row r="5" spans="1:173" ht="19.8" x14ac:dyDescent="0.3">
      <c r="A5" s="748" t="s">
        <v>544</v>
      </c>
      <c r="B5" s="748"/>
      <c r="C5" s="748"/>
      <c r="D5" s="748"/>
      <c r="E5" s="748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</row>
    <row r="6" spans="1:173" ht="15.6" x14ac:dyDescent="0.3">
      <c r="B6" s="12"/>
      <c r="C6" s="36"/>
      <c r="H6" s="13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</row>
    <row r="7" spans="1:173" x14ac:dyDescent="0.3">
      <c r="C7" s="36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</row>
    <row r="8" spans="1:173" ht="17.399999999999999" x14ac:dyDescent="0.3">
      <c r="B8" s="14"/>
      <c r="C8" s="38" t="s">
        <v>558</v>
      </c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</row>
    <row r="9" spans="1:173" x14ac:dyDescent="0.3"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</row>
    <row r="10" spans="1:173" x14ac:dyDescent="0.3"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</row>
    <row r="11" spans="1:173" x14ac:dyDescent="0.3">
      <c r="A11" s="425" t="s">
        <v>126</v>
      </c>
      <c r="B11"/>
      <c r="C11"/>
      <c r="D11"/>
      <c r="E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</row>
    <row r="12" spans="1:173" x14ac:dyDescent="0.3">
      <c r="A12" s="749" t="s">
        <v>397</v>
      </c>
      <c r="B12" s="750"/>
      <c r="C12" s="750"/>
      <c r="D12" s="750"/>
      <c r="E12" s="750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</row>
    <row r="13" spans="1:173" x14ac:dyDescent="0.3">
      <c r="A13" s="750"/>
      <c r="B13" s="750"/>
      <c r="C13" s="750"/>
      <c r="D13" s="750"/>
      <c r="E13" s="750"/>
    </row>
    <row r="14" spans="1:173" x14ac:dyDescent="0.3">
      <c r="A14" s="750"/>
      <c r="B14" s="750"/>
      <c r="C14" s="750"/>
      <c r="D14" s="750"/>
      <c r="E14" s="750"/>
    </row>
    <row r="15" spans="1:173" x14ac:dyDescent="0.3">
      <c r="A15" s="750"/>
      <c r="B15" s="750"/>
      <c r="C15" s="750"/>
      <c r="D15" s="750"/>
      <c r="E15" s="750"/>
    </row>
    <row r="19" spans="2:2" x14ac:dyDescent="0.3">
      <c r="B19" s="15"/>
    </row>
  </sheetData>
  <mergeCells count="3">
    <mergeCell ref="A1:E1"/>
    <mergeCell ref="A5:E5"/>
    <mergeCell ref="A12:E15"/>
  </mergeCells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/>
  <dimension ref="A1:FY12"/>
  <sheetViews>
    <sheetView showGridLines="0" topLeftCell="A2" zoomScaleNormal="100" workbookViewId="0">
      <selection activeCell="H24" sqref="H24"/>
    </sheetView>
  </sheetViews>
  <sheetFormatPr defaultRowHeight="14.4" x14ac:dyDescent="0.3"/>
  <cols>
    <col min="1" max="1" width="30.6640625" customWidth="1"/>
    <col min="2" max="4" width="13.6640625" customWidth="1"/>
    <col min="5" max="5" width="10.77734375" customWidth="1"/>
    <col min="7" max="14" width="5.77734375" customWidth="1"/>
  </cols>
  <sheetData>
    <row r="1" spans="1:181" ht="14.4" hidden="1" customHeight="1" thickBot="1" x14ac:dyDescent="0.35"/>
    <row r="2" spans="1:181" x14ac:dyDescent="0.3">
      <c r="B2" s="18"/>
      <c r="C2" s="18"/>
      <c r="D2" s="18"/>
      <c r="E2" s="99"/>
    </row>
    <row r="3" spans="1:181" ht="14.4" customHeight="1" x14ac:dyDescent="0.3">
      <c r="A3" s="46" t="s">
        <v>404</v>
      </c>
      <c r="B3" s="46"/>
      <c r="C3" s="46"/>
      <c r="D3" s="46"/>
      <c r="E3" s="275" t="s">
        <v>310</v>
      </c>
    </row>
    <row r="4" spans="1:181" ht="26.4" customHeight="1" x14ac:dyDescent="0.3">
      <c r="A4" s="100" t="s">
        <v>10</v>
      </c>
      <c r="B4" s="101" t="s">
        <v>522</v>
      </c>
      <c r="C4" s="102" t="s">
        <v>551</v>
      </c>
      <c r="D4" s="102" t="s">
        <v>559</v>
      </c>
      <c r="E4" s="622" t="str">
        <f>IF(LEN(D4)&gt;5,"Индекс " &amp; MID(D4,1,2) &amp; "-" &amp; MID(D4,4,5) &amp; "/" &amp; C4,"Индекс " &amp; D4 &amp; "/" &amp; C4)</f>
        <v>Индекс 2024./2023.</v>
      </c>
    </row>
    <row r="5" spans="1:181" ht="14.1" customHeight="1" x14ac:dyDescent="0.3">
      <c r="A5" s="53" t="s">
        <v>401</v>
      </c>
      <c r="B5" s="103">
        <v>2924.6489999999999</v>
      </c>
      <c r="C5" s="69">
        <v>3017.951</v>
      </c>
      <c r="D5" s="69">
        <v>3303.2629999999999</v>
      </c>
      <c r="E5" s="104">
        <f t="shared" ref="E5:E12" si="0">IF(C5&lt;&gt;0,D5/C5*100,"-")</f>
        <v>109.45383142403571</v>
      </c>
    </row>
    <row r="6" spans="1:181" ht="14.1" customHeight="1" x14ac:dyDescent="0.3">
      <c r="A6" s="53" t="s">
        <v>402</v>
      </c>
      <c r="B6" s="103">
        <f>SUM(B7:B8)</f>
        <v>2365.8272999999999</v>
      </c>
      <c r="C6" s="69">
        <f t="shared" ref="C6:D6" si="1">SUM(C7:C8)</f>
        <v>2595.85419</v>
      </c>
      <c r="D6" s="69">
        <f t="shared" si="1"/>
        <v>2655.3933900000002</v>
      </c>
      <c r="E6" s="104">
        <f t="shared" si="0"/>
        <v>102.29362651528591</v>
      </c>
    </row>
    <row r="7" spans="1:181" ht="14.1" customHeight="1" x14ac:dyDescent="0.3">
      <c r="A7" s="90" t="s">
        <v>128</v>
      </c>
      <c r="B7" s="103">
        <v>1699.22696</v>
      </c>
      <c r="C7" s="69">
        <v>1921.38789</v>
      </c>
      <c r="D7" s="69">
        <v>2039.73884</v>
      </c>
      <c r="E7" s="104">
        <f t="shared" si="0"/>
        <v>106.15965941161419</v>
      </c>
    </row>
    <row r="8" spans="1:181" ht="14.1" customHeight="1" x14ac:dyDescent="0.3">
      <c r="A8" s="90" t="s">
        <v>129</v>
      </c>
      <c r="B8" s="103">
        <v>666.60033999999996</v>
      </c>
      <c r="C8" s="69">
        <v>674.46630000000005</v>
      </c>
      <c r="D8" s="69">
        <v>615.65455000000009</v>
      </c>
      <c r="E8" s="104">
        <f t="shared" si="0"/>
        <v>91.280253735434968</v>
      </c>
    </row>
    <row r="9" spans="1:181" ht="14.1" customHeight="1" x14ac:dyDescent="0.3">
      <c r="A9" s="105" t="s">
        <v>130</v>
      </c>
      <c r="B9" s="106">
        <f>IF(B6&lt;&gt;0,B5*100/B6,0)</f>
        <v>123.62056182207381</v>
      </c>
      <c r="C9" s="438">
        <f>IF(C6&lt;&gt;0,C5*100/C6,0)</f>
        <v>116.26042062092863</v>
      </c>
      <c r="D9" s="438">
        <f>IF(D6&lt;&gt;0,D5*100/D6,0)</f>
        <v>124.39825347309461</v>
      </c>
      <c r="E9" s="107">
        <f>IF(C9&lt;&gt;0,D9/C9*100,"-")</f>
        <v>106.99965887677259</v>
      </c>
    </row>
    <row r="10" spans="1:181" ht="14.1" customHeight="1" x14ac:dyDescent="0.3">
      <c r="A10" s="53" t="s">
        <v>403</v>
      </c>
      <c r="B10" s="103">
        <v>1557.7844299999999</v>
      </c>
      <c r="C10" s="69">
        <v>1806.7140400000001</v>
      </c>
      <c r="D10" s="69">
        <v>2187.83023</v>
      </c>
      <c r="E10" s="104">
        <f t="shared" si="0"/>
        <v>121.09443894065272</v>
      </c>
    </row>
    <row r="11" spans="1:181" ht="14.1" customHeight="1" x14ac:dyDescent="0.3">
      <c r="A11" s="53" t="s">
        <v>131</v>
      </c>
      <c r="B11" s="103">
        <f>B6+B10</f>
        <v>3923.6117299999996</v>
      </c>
      <c r="C11" s="69">
        <f t="shared" ref="C11:D11" si="2">C6+C10</f>
        <v>4402.5682299999999</v>
      </c>
      <c r="D11" s="69">
        <f t="shared" si="2"/>
        <v>4843.2236200000007</v>
      </c>
      <c r="E11" s="104">
        <f t="shared" si="0"/>
        <v>110.00905305674276</v>
      </c>
    </row>
    <row r="12" spans="1:181" s="2" customFormat="1" ht="14.1" customHeight="1" thickBot="1" x14ac:dyDescent="0.35">
      <c r="A12" s="81" t="s">
        <v>132</v>
      </c>
      <c r="B12" s="108">
        <f>IF(B11&lt;&gt;0,B5*100/B11,0)</f>
        <v>74.53971496817806</v>
      </c>
      <c r="C12" s="439">
        <f>IF(C11&lt;&gt;0,C5*100/C11,0)</f>
        <v>68.549783724760118</v>
      </c>
      <c r="D12" s="439">
        <f>IF(D11&lt;&gt;0,D5*100/D11,0)</f>
        <v>68.203809263715129</v>
      </c>
      <c r="E12" s="109">
        <f t="shared" si="0"/>
        <v>99.495294598690293</v>
      </c>
      <c r="F12"/>
      <c r="G12"/>
      <c r="H12"/>
      <c r="I12"/>
      <c r="J12"/>
      <c r="K12"/>
      <c r="L12"/>
      <c r="M12"/>
      <c r="N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</row>
  </sheetData>
  <customSheetViews>
    <customSheetView guid="{5507C501-9942-4310-9E0E-987180BD1180}">
      <selection activeCell="O41" sqref="O41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U35" sqref="U35"/>
      <pageMargins left="0.7" right="0.7" top="0.75" bottom="0.75" header="0.3" footer="0.3"/>
      <pageSetup paperSize="9" orientation="portrait" verticalDpi="0" r:id="rId2"/>
    </customSheetView>
  </customSheetViews>
  <pageMargins left="0.7" right="0.7" top="0.75" bottom="0.75" header="0.3" footer="0.3"/>
  <pageSetup paperSize="9" orientation="portrait" verticalDpi="0" r:id="rId3"/>
  <ignoredErrors>
    <ignoredError sqref="E12" evalError="1"/>
  </ignoredErrors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5"/>
  <dimension ref="A1:FQ20"/>
  <sheetViews>
    <sheetView showGridLines="0" topLeftCell="A2" zoomScaleNormal="100" workbookViewId="0">
      <selection activeCell="R19" sqref="R19"/>
    </sheetView>
  </sheetViews>
  <sheetFormatPr defaultRowHeight="14.4" x14ac:dyDescent="0.3"/>
  <cols>
    <col min="1" max="1" width="18.109375" customWidth="1"/>
    <col min="2" max="2" width="7.33203125" customWidth="1"/>
    <col min="3" max="3" width="5.33203125" customWidth="1"/>
    <col min="4" max="4" width="7.33203125" customWidth="1"/>
    <col min="5" max="5" width="5.33203125" customWidth="1"/>
    <col min="6" max="6" width="7.33203125" customWidth="1"/>
    <col min="7" max="7" width="5.33203125" customWidth="1"/>
    <col min="8" max="8" width="7.33203125" customWidth="1"/>
    <col min="9" max="9" width="5.33203125" customWidth="1"/>
    <col min="10" max="10" width="7.33203125" customWidth="1"/>
    <col min="11" max="11" width="5.33203125" customWidth="1"/>
    <col min="12" max="12" width="7.33203125" customWidth="1"/>
    <col min="13" max="13" width="5.33203125" customWidth="1"/>
    <col min="14" max="14" width="8.44140625" style="31" customWidth="1"/>
  </cols>
  <sheetData>
    <row r="1" spans="1:14" ht="14.4" hidden="1" customHeight="1" thickBot="1" x14ac:dyDescent="0.35"/>
    <row r="2" spans="1:14" x14ac:dyDescent="0.3">
      <c r="B2" s="23"/>
      <c r="C2" s="23"/>
      <c r="D2" s="23"/>
      <c r="E2" s="23"/>
      <c r="F2" s="23"/>
      <c r="G2" s="23"/>
      <c r="H2" s="23"/>
      <c r="I2" s="23"/>
    </row>
    <row r="3" spans="1:14" x14ac:dyDescent="0.3">
      <c r="A3" s="84" t="s">
        <v>302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65" t="s">
        <v>310</v>
      </c>
    </row>
    <row r="4" spans="1:14" ht="15" customHeight="1" x14ac:dyDescent="0.3">
      <c r="A4" s="751" t="s">
        <v>10</v>
      </c>
      <c r="B4" s="762" t="s">
        <v>551</v>
      </c>
      <c r="C4" s="772"/>
      <c r="D4" s="772"/>
      <c r="E4" s="772"/>
      <c r="F4" s="772"/>
      <c r="G4" s="772"/>
      <c r="H4" s="762" t="s">
        <v>559</v>
      </c>
      <c r="I4" s="772"/>
      <c r="J4" s="772"/>
      <c r="K4" s="772"/>
      <c r="L4" s="772"/>
      <c r="M4" s="773"/>
      <c r="N4" s="769" t="str">
        <f>IF(LEN(H4)&gt;5,"Индекс " &amp; MID(H4,1,2) &amp; "-" &amp; MID(H4,4,5) &amp; "/" &amp; B4,"Индекс " &amp; H4 &amp; "/" &amp; B4)</f>
        <v>Индекс 2024./2023.</v>
      </c>
    </row>
    <row r="5" spans="1:14" ht="96" x14ac:dyDescent="0.3">
      <c r="A5" s="771"/>
      <c r="B5" s="110" t="s">
        <v>525</v>
      </c>
      <c r="C5" s="111" t="s">
        <v>3</v>
      </c>
      <c r="D5" s="111" t="s">
        <v>528</v>
      </c>
      <c r="E5" s="111" t="s">
        <v>3</v>
      </c>
      <c r="F5" s="111" t="s">
        <v>16</v>
      </c>
      <c r="G5" s="111" t="s">
        <v>3</v>
      </c>
      <c r="H5" s="110" t="s">
        <v>525</v>
      </c>
      <c r="I5" s="111" t="s">
        <v>3</v>
      </c>
      <c r="J5" s="111" t="s">
        <v>528</v>
      </c>
      <c r="K5" s="111" t="s">
        <v>3</v>
      </c>
      <c r="L5" s="111" t="s">
        <v>16</v>
      </c>
      <c r="M5" s="112" t="s">
        <v>3</v>
      </c>
      <c r="N5" s="770"/>
    </row>
    <row r="6" spans="1:14" ht="12" customHeight="1" x14ac:dyDescent="0.3">
      <c r="A6" s="341" t="s">
        <v>17</v>
      </c>
      <c r="B6" s="342"/>
      <c r="C6" s="343"/>
      <c r="D6" s="344"/>
      <c r="E6" s="343"/>
      <c r="F6" s="345"/>
      <c r="G6" s="343"/>
      <c r="H6" s="342"/>
      <c r="I6" s="343"/>
      <c r="J6" s="344"/>
      <c r="K6" s="343"/>
      <c r="L6" s="345"/>
      <c r="M6" s="346"/>
      <c r="N6" s="351"/>
    </row>
    <row r="7" spans="1:14" ht="12" customHeight="1" x14ac:dyDescent="0.3">
      <c r="A7" s="125" t="s">
        <v>320</v>
      </c>
      <c r="B7" s="347">
        <v>777.69100000000003</v>
      </c>
      <c r="C7" s="348">
        <f>IF(B$20&gt;0,B7*100/B$20,0)</f>
        <v>10.047548438283865</v>
      </c>
      <c r="D7" s="349">
        <v>13.433</v>
      </c>
      <c r="E7" s="348">
        <f>IF(D$20&gt;0,D7*100/D$20,0)</f>
        <v>1.1183141952558435</v>
      </c>
      <c r="F7" s="126">
        <f>B7+D7</f>
        <v>791.12400000000002</v>
      </c>
      <c r="G7" s="348">
        <f>IF(F$20&gt;0,F7*100/F$20,0)</f>
        <v>8.8479850222954415</v>
      </c>
      <c r="H7" s="347">
        <v>607.29899999999998</v>
      </c>
      <c r="I7" s="348">
        <f>IF(H$20&gt;0,H7*100/H$20,0)</f>
        <v>7.269407212561382</v>
      </c>
      <c r="J7" s="349">
        <v>8.0640000000000001</v>
      </c>
      <c r="K7" s="348">
        <f>IF(J$20&gt;0,J7*100/J$20,0)</f>
        <v>0.60488634752610948</v>
      </c>
      <c r="L7" s="126">
        <f>H7+J7</f>
        <v>615.36299999999994</v>
      </c>
      <c r="M7" s="350">
        <f>IF(L$20&gt;0,L7*100/L$20,0)</f>
        <v>6.3522535339502637</v>
      </c>
      <c r="N7" s="351">
        <f>IF(F7&lt;&gt;0,L7*100/F7,0)</f>
        <v>77.783381619063505</v>
      </c>
    </row>
    <row r="8" spans="1:14" ht="12" customHeight="1" x14ac:dyDescent="0.3">
      <c r="A8" s="125" t="s">
        <v>321</v>
      </c>
      <c r="B8" s="347">
        <v>1462.5219999999999</v>
      </c>
      <c r="C8" s="348">
        <f>IF(B$20&gt;0,B8*100/B$20,0)</f>
        <v>18.895371859846378</v>
      </c>
      <c r="D8" s="349">
        <v>455.03800000000001</v>
      </c>
      <c r="E8" s="348">
        <f t="shared" ref="E8:E11" si="0">IF(D$20&gt;0,D8*100/D$20,0)</f>
        <v>37.882487514392068</v>
      </c>
      <c r="F8" s="126">
        <f t="shared" ref="F8:F11" si="1">B8+D8</f>
        <v>1917.56</v>
      </c>
      <c r="G8" s="348">
        <f t="shared" ref="G8:G11" si="2">IF(F$20&gt;0,F8*100/F$20,0)</f>
        <v>21.446122427524436</v>
      </c>
      <c r="H8" s="347">
        <v>1645.068</v>
      </c>
      <c r="I8" s="348">
        <f>IF(H$20&gt;0,H8*100/H$20,0)</f>
        <v>19.691567389957711</v>
      </c>
      <c r="J8" s="349">
        <v>518.36</v>
      </c>
      <c r="K8" s="348">
        <f>IF(J$20&gt;0,J8*100/J$20,0)</f>
        <v>38.882550484081605</v>
      </c>
      <c r="L8" s="126">
        <f t="shared" ref="L8:L11" si="3">H8+J8</f>
        <v>2163.4279999999999</v>
      </c>
      <c r="M8" s="350">
        <f t="shared" ref="M8:M11" si="4">IF(L$20&gt;0,L8*100/L$20,0)</f>
        <v>22.332579564333493</v>
      </c>
      <c r="N8" s="351">
        <f>IF(F8&lt;&gt;0,L8*100/F8,0)</f>
        <v>112.8219195227268</v>
      </c>
    </row>
    <row r="9" spans="1:14" ht="12" customHeight="1" x14ac:dyDescent="0.3">
      <c r="A9" s="125" t="s">
        <v>386</v>
      </c>
      <c r="B9" s="347">
        <v>42.917999999999999</v>
      </c>
      <c r="C9" s="348">
        <f t="shared" ref="C9:C11" si="5">IF(B$20&gt;0,B9*100/B$20,0)</f>
        <v>0.55448845862208362</v>
      </c>
      <c r="D9" s="349">
        <v>8.8949999999999996</v>
      </c>
      <c r="E9" s="348">
        <f t="shared" si="0"/>
        <v>0.74051997072885645</v>
      </c>
      <c r="F9" s="126">
        <f t="shared" si="1"/>
        <v>51.813000000000002</v>
      </c>
      <c r="G9" s="348">
        <f t="shared" si="2"/>
        <v>0.57948014212714272</v>
      </c>
      <c r="H9" s="347">
        <v>153.98400000000001</v>
      </c>
      <c r="I9" s="348">
        <f t="shared" ref="I9:K11" si="6">IF(H$20&gt;0,H9*100/H$20,0)</f>
        <v>1.8431981613983426</v>
      </c>
      <c r="J9" s="349">
        <v>15.051</v>
      </c>
      <c r="K9" s="348">
        <f t="shared" si="6"/>
        <v>1.1289861627747362</v>
      </c>
      <c r="L9" s="126">
        <f t="shared" si="3"/>
        <v>169.035</v>
      </c>
      <c r="M9" s="350">
        <f t="shared" si="4"/>
        <v>1.7449102011516502</v>
      </c>
      <c r="N9" s="351">
        <f>IF(F9&lt;&gt;0,L9*100/F9,0)</f>
        <v>326.24051878872098</v>
      </c>
    </row>
    <row r="10" spans="1:14" ht="12" customHeight="1" x14ac:dyDescent="0.3">
      <c r="A10" s="125" t="s">
        <v>405</v>
      </c>
      <c r="B10" s="352">
        <v>2817.8330000000001</v>
      </c>
      <c r="C10" s="348">
        <f t="shared" si="5"/>
        <v>36.405607829452485</v>
      </c>
      <c r="D10" s="126">
        <v>516.67200000000003</v>
      </c>
      <c r="E10" s="348">
        <f t="shared" si="0"/>
        <v>43.013595763509812</v>
      </c>
      <c r="F10" s="353">
        <f t="shared" si="1"/>
        <v>3334.5050000000001</v>
      </c>
      <c r="G10" s="348">
        <f t="shared" si="2"/>
        <v>37.293332393871573</v>
      </c>
      <c r="H10" s="352">
        <v>3171.9650000000001</v>
      </c>
      <c r="I10" s="348">
        <f t="shared" si="6"/>
        <v>37.968620480179069</v>
      </c>
      <c r="J10" s="126">
        <v>589.529</v>
      </c>
      <c r="K10" s="348">
        <f t="shared" si="6"/>
        <v>44.220987545972193</v>
      </c>
      <c r="L10" s="353">
        <f t="shared" si="3"/>
        <v>3761.4940000000001</v>
      </c>
      <c r="M10" s="350">
        <f t="shared" si="4"/>
        <v>38.829054646497625</v>
      </c>
      <c r="N10" s="351">
        <f t="shared" ref="N10:N20" si="7">IF(F10&lt;&gt;0,L10*100/F10,0)</f>
        <v>112.80516898310245</v>
      </c>
    </row>
    <row r="11" spans="1:14" ht="12" customHeight="1" x14ac:dyDescent="0.3">
      <c r="A11" s="125" t="s">
        <v>149</v>
      </c>
      <c r="B11" s="347">
        <v>237.916</v>
      </c>
      <c r="C11" s="348">
        <f t="shared" si="5"/>
        <v>3.0738076359926287</v>
      </c>
      <c r="D11" s="349">
        <v>10.638999999999999</v>
      </c>
      <c r="E11" s="348">
        <f t="shared" si="0"/>
        <v>0.88571017072336178</v>
      </c>
      <c r="F11" s="126">
        <f t="shared" si="1"/>
        <v>248.55500000000001</v>
      </c>
      <c r="G11" s="348">
        <f t="shared" si="2"/>
        <v>2.7798561505107204</v>
      </c>
      <c r="H11" s="347">
        <v>276.42500000000001</v>
      </c>
      <c r="I11" s="348">
        <f t="shared" si="6"/>
        <v>3.3088246296013666</v>
      </c>
      <c r="J11" s="349">
        <v>10.734999999999999</v>
      </c>
      <c r="K11" s="348">
        <f t="shared" si="6"/>
        <v>0.80523994800257748</v>
      </c>
      <c r="L11" s="126">
        <f t="shared" si="3"/>
        <v>287.16000000000003</v>
      </c>
      <c r="M11" s="350">
        <f t="shared" si="4"/>
        <v>2.9642879484290705</v>
      </c>
      <c r="N11" s="351">
        <f t="shared" si="7"/>
        <v>115.53177365170687</v>
      </c>
    </row>
    <row r="12" spans="1:14" ht="12" customHeight="1" x14ac:dyDescent="0.3">
      <c r="A12" s="354" t="s">
        <v>16</v>
      </c>
      <c r="B12" s="355">
        <f t="shared" ref="B12:M12" si="8">SUM(B7:B11)</f>
        <v>5338.88</v>
      </c>
      <c r="C12" s="356">
        <f t="shared" si="8"/>
        <v>68.976824222197436</v>
      </c>
      <c r="D12" s="357">
        <f t="shared" si="8"/>
        <v>1004.677</v>
      </c>
      <c r="E12" s="356">
        <f t="shared" si="8"/>
        <v>83.640627614609926</v>
      </c>
      <c r="F12" s="357">
        <f t="shared" si="8"/>
        <v>6343.5570000000007</v>
      </c>
      <c r="G12" s="356">
        <f>SUM(G7:G11)</f>
        <v>70.946776136329319</v>
      </c>
      <c r="H12" s="355">
        <f t="shared" si="8"/>
        <v>5854.7410000000009</v>
      </c>
      <c r="I12" s="356">
        <f>SUM(I7:I11)</f>
        <v>70.081617873697866</v>
      </c>
      <c r="J12" s="357">
        <f t="shared" si="8"/>
        <v>1141.7389999999998</v>
      </c>
      <c r="K12" s="356">
        <f t="shared" si="8"/>
        <v>85.642650488357233</v>
      </c>
      <c r="L12" s="357">
        <f t="shared" si="8"/>
        <v>6996.48</v>
      </c>
      <c r="M12" s="358">
        <f t="shared" si="8"/>
        <v>72.2230858943621</v>
      </c>
      <c r="N12" s="359">
        <f t="shared" si="7"/>
        <v>110.2926954073243</v>
      </c>
    </row>
    <row r="13" spans="1:14" ht="12" customHeight="1" x14ac:dyDescent="0.3">
      <c r="A13" s="341" t="s">
        <v>18</v>
      </c>
      <c r="B13" s="360"/>
      <c r="C13" s="348"/>
      <c r="D13" s="361"/>
      <c r="E13" s="348"/>
      <c r="F13" s="126"/>
      <c r="G13" s="348"/>
      <c r="H13" s="360"/>
      <c r="I13" s="348"/>
      <c r="J13" s="361"/>
      <c r="K13" s="348"/>
      <c r="L13" s="126"/>
      <c r="M13" s="350"/>
      <c r="N13" s="351">
        <f t="shared" si="7"/>
        <v>0</v>
      </c>
    </row>
    <row r="14" spans="1:14" ht="12" customHeight="1" x14ac:dyDescent="0.3">
      <c r="A14" s="125" t="s">
        <v>320</v>
      </c>
      <c r="B14" s="347">
        <v>83.713999999999999</v>
      </c>
      <c r="C14" s="348">
        <f>IF(B$20&gt;0,B14*100/B$20,0)</f>
        <v>1.0815612755740973</v>
      </c>
      <c r="D14" s="349">
        <v>0</v>
      </c>
      <c r="E14" s="348">
        <f>IF(D$20&gt;0,D14*100/D$20,0)</f>
        <v>0</v>
      </c>
      <c r="F14" s="126">
        <f t="shared" ref="F14:F18" si="9">B14+D14</f>
        <v>83.713999999999999</v>
      </c>
      <c r="G14" s="348">
        <f>IF(F$20&gt;0,F14*100/F$20,0)</f>
        <v>0.93626311192232869</v>
      </c>
      <c r="H14" s="347">
        <v>62.389000000000003</v>
      </c>
      <c r="I14" s="348">
        <f>IF(H$20&gt;0,H14*100/H$20,0)</f>
        <v>0.74680025256832661</v>
      </c>
      <c r="J14" s="349">
        <v>0</v>
      </c>
      <c r="K14" s="348">
        <f>IF(J$20&gt;0,J14*100/J$20,0)</f>
        <v>0</v>
      </c>
      <c r="L14" s="126">
        <f t="shared" ref="L14:L18" si="10">H14+J14</f>
        <v>62.389000000000003</v>
      </c>
      <c r="M14" s="350">
        <f>IF(L$20&gt;0,L14*100/L$20,0)</f>
        <v>0.64402758327950016</v>
      </c>
      <c r="N14" s="351">
        <f t="shared" si="7"/>
        <v>74.52636357120673</v>
      </c>
    </row>
    <row r="15" spans="1:14" ht="12" customHeight="1" x14ac:dyDescent="0.3">
      <c r="A15" s="125" t="s">
        <v>321</v>
      </c>
      <c r="B15" s="347">
        <v>276.12400000000002</v>
      </c>
      <c r="C15" s="348">
        <f t="shared" ref="C15:E18" si="11">IF(B$20&gt;0,B15*100/B$20,0)</f>
        <v>3.5674442226703071</v>
      </c>
      <c r="D15" s="349">
        <v>67.673000000000002</v>
      </c>
      <c r="E15" s="348">
        <f t="shared" si="11"/>
        <v>5.6338626171033059</v>
      </c>
      <c r="F15" s="126">
        <f t="shared" si="9"/>
        <v>343.79700000000003</v>
      </c>
      <c r="G15" s="348">
        <f t="shared" ref="G15:G18" si="12">IF(F$20&gt;0,F15*100/F$20,0)</f>
        <v>3.8450492043094453</v>
      </c>
      <c r="H15" s="347">
        <v>290.86799999999999</v>
      </c>
      <c r="I15" s="348">
        <f t="shared" ref="I15" si="13">IF(H$20&gt;0,H15*100/H$20,0)</f>
        <v>3.4817082476725703</v>
      </c>
      <c r="J15" s="349">
        <v>75.28</v>
      </c>
      <c r="K15" s="348">
        <f t="shared" ref="K15" si="14">IF(J$20&gt;0,J15*100/J$20,0)</f>
        <v>5.6468060815681449</v>
      </c>
      <c r="L15" s="126">
        <f t="shared" si="10"/>
        <v>366.14800000000002</v>
      </c>
      <c r="M15" s="350">
        <f t="shared" ref="M15:M18" si="15">IF(L$20&gt;0,L15*100/L$20,0)</f>
        <v>3.7796632669640871</v>
      </c>
      <c r="N15" s="351">
        <f t="shared" si="7"/>
        <v>106.50122019680218</v>
      </c>
    </row>
    <row r="16" spans="1:14" ht="12" customHeight="1" x14ac:dyDescent="0.3">
      <c r="A16" s="125" t="s">
        <v>386</v>
      </c>
      <c r="B16" s="347">
        <v>88.778999999999996</v>
      </c>
      <c r="C16" s="348">
        <f t="shared" si="11"/>
        <v>1.1469996474208948</v>
      </c>
      <c r="D16" s="349">
        <v>12.55</v>
      </c>
      <c r="E16" s="348">
        <f t="shared" si="11"/>
        <v>1.0448033313824787</v>
      </c>
      <c r="F16" s="126">
        <f t="shared" si="9"/>
        <v>101.32899999999999</v>
      </c>
      <c r="G16" s="348">
        <f t="shared" si="12"/>
        <v>1.1332704788682615</v>
      </c>
      <c r="H16" s="347">
        <v>64.099999999999994</v>
      </c>
      <c r="I16" s="348">
        <f t="shared" ref="I16" si="16">IF(H$20&gt;0,H16*100/H$20,0)</f>
        <v>0.7672810301436106</v>
      </c>
      <c r="J16" s="349">
        <v>6.95</v>
      </c>
      <c r="K16" s="348">
        <f t="shared" ref="K16" si="17">IF(J$20&gt;0,J16*100/J$20,0)</f>
        <v>0.52132441906082105</v>
      </c>
      <c r="L16" s="126">
        <f t="shared" si="10"/>
        <v>71.05</v>
      </c>
      <c r="M16" s="350">
        <f t="shared" si="15"/>
        <v>0.73343313391797404</v>
      </c>
      <c r="N16" s="351">
        <f t="shared" si="7"/>
        <v>70.11813005161406</v>
      </c>
    </row>
    <row r="17" spans="1:173" ht="12" customHeight="1" x14ac:dyDescent="0.3">
      <c r="A17" s="125" t="s">
        <v>405</v>
      </c>
      <c r="B17" s="347">
        <v>1770.0820000000001</v>
      </c>
      <c r="C17" s="348">
        <f t="shared" si="11"/>
        <v>22.868960338661985</v>
      </c>
      <c r="D17" s="349">
        <v>115.386</v>
      </c>
      <c r="E17" s="348">
        <f t="shared" si="11"/>
        <v>9.6060300553704145</v>
      </c>
      <c r="F17" s="126">
        <f t="shared" si="9"/>
        <v>1885.4680000000001</v>
      </c>
      <c r="G17" s="348">
        <f t="shared" si="12"/>
        <v>21.087203300642301</v>
      </c>
      <c r="H17" s="347">
        <v>1894.8920000000001</v>
      </c>
      <c r="I17" s="348">
        <f t="shared" ref="I17" si="18">IF(H$20&gt;0,H17*100/H$20,0)</f>
        <v>22.681976377080918</v>
      </c>
      <c r="J17" s="349">
        <v>109.08799999999999</v>
      </c>
      <c r="K17" s="348">
        <f t="shared" ref="K17" si="19">IF(J$20&gt;0,J17*100/J$20,0)</f>
        <v>8.1827680901448687</v>
      </c>
      <c r="L17" s="126">
        <f t="shared" si="10"/>
        <v>2003.98</v>
      </c>
      <c r="M17" s="350">
        <f t="shared" si="15"/>
        <v>20.686633803081516</v>
      </c>
      <c r="N17" s="351">
        <f t="shared" si="7"/>
        <v>106.28554820341687</v>
      </c>
    </row>
    <row r="18" spans="1:173" ht="12" customHeight="1" x14ac:dyDescent="0.3">
      <c r="A18" s="125" t="s">
        <v>149</v>
      </c>
      <c r="B18" s="347">
        <v>182.52799999999999</v>
      </c>
      <c r="C18" s="348">
        <f t="shared" si="11"/>
        <v>2.3582102934752709</v>
      </c>
      <c r="D18" s="349">
        <v>0.89700000000000002</v>
      </c>
      <c r="E18" s="348">
        <f t="shared" si="11"/>
        <v>7.4676381533871197E-2</v>
      </c>
      <c r="F18" s="126">
        <f t="shared" si="9"/>
        <v>183.42499999999998</v>
      </c>
      <c r="G18" s="348">
        <f t="shared" si="12"/>
        <v>2.0514377679283413</v>
      </c>
      <c r="H18" s="347">
        <v>187.185</v>
      </c>
      <c r="I18" s="348">
        <f t="shared" ref="I18" si="20">IF(H$20&gt;0,H18*100/H$20,0)</f>
        <v>2.2406162188366889</v>
      </c>
      <c r="J18" s="349">
        <v>8.5999999999999993E-2</v>
      </c>
      <c r="K18" s="348">
        <f t="shared" ref="K18" si="21">IF(J$20&gt;0,J18*100/J$20,0)</f>
        <v>6.4509208689540439E-3</v>
      </c>
      <c r="L18" s="126">
        <f t="shared" si="10"/>
        <v>187.27100000000002</v>
      </c>
      <c r="M18" s="350">
        <f t="shared" si="15"/>
        <v>1.9331563183948337</v>
      </c>
      <c r="N18" s="351">
        <f t="shared" si="7"/>
        <v>102.09676979691974</v>
      </c>
    </row>
    <row r="19" spans="1:173" ht="12" customHeight="1" x14ac:dyDescent="0.3">
      <c r="A19" s="354" t="s">
        <v>16</v>
      </c>
      <c r="B19" s="355">
        <f>SUM(B14:B18)</f>
        <v>2401.2269999999999</v>
      </c>
      <c r="C19" s="356">
        <f>SUM(C14:C18)</f>
        <v>31.023175777802553</v>
      </c>
      <c r="D19" s="357">
        <f>SUM(D14:D18)</f>
        <v>196.50599999999997</v>
      </c>
      <c r="E19" s="356">
        <f>SUM(E14:E18)</f>
        <v>16.359372385390067</v>
      </c>
      <c r="F19" s="357">
        <f t="shared" ref="F19:L19" si="22">SUM(F14:F18)</f>
        <v>2597.7330000000002</v>
      </c>
      <c r="G19" s="356">
        <f>SUM(G14:G18)</f>
        <v>29.053223863670677</v>
      </c>
      <c r="H19" s="355">
        <f t="shared" si="22"/>
        <v>2499.4339999999997</v>
      </c>
      <c r="I19" s="356">
        <f t="shared" si="22"/>
        <v>29.918382126302117</v>
      </c>
      <c r="J19" s="357">
        <f t="shared" si="22"/>
        <v>191.404</v>
      </c>
      <c r="K19" s="356">
        <f>SUM(K14:K18)</f>
        <v>14.357349511642788</v>
      </c>
      <c r="L19" s="357">
        <f t="shared" si="22"/>
        <v>2690.8380000000002</v>
      </c>
      <c r="M19" s="358">
        <f>SUM(M14:M18)</f>
        <v>27.776914105637911</v>
      </c>
      <c r="N19" s="359">
        <f t="shared" si="7"/>
        <v>103.58408658626581</v>
      </c>
    </row>
    <row r="20" spans="1:173" s="2" customFormat="1" ht="12" customHeight="1" thickBot="1" x14ac:dyDescent="0.35">
      <c r="A20" s="362" t="s">
        <v>94</v>
      </c>
      <c r="B20" s="363">
        <f>B19+B12</f>
        <v>7740.107</v>
      </c>
      <c r="C20" s="364">
        <f>C19+C12</f>
        <v>99.999999999999986</v>
      </c>
      <c r="D20" s="365">
        <f>D19+D12</f>
        <v>1201.183</v>
      </c>
      <c r="E20" s="364">
        <f>E19+E12</f>
        <v>100</v>
      </c>
      <c r="F20" s="365">
        <f t="shared" ref="F20:L20" si="23">F19+F12</f>
        <v>8941.2900000000009</v>
      </c>
      <c r="G20" s="364">
        <f>G19+G12</f>
        <v>100</v>
      </c>
      <c r="H20" s="363">
        <f t="shared" si="23"/>
        <v>8354.1750000000011</v>
      </c>
      <c r="I20" s="364">
        <f t="shared" si="23"/>
        <v>99.999999999999986</v>
      </c>
      <c r="J20" s="365">
        <f t="shared" si="23"/>
        <v>1333.1429999999998</v>
      </c>
      <c r="K20" s="364">
        <f t="shared" si="23"/>
        <v>100.00000000000003</v>
      </c>
      <c r="L20" s="365">
        <f t="shared" si="23"/>
        <v>9687.3179999999993</v>
      </c>
      <c r="M20" s="366">
        <f>M19+M12</f>
        <v>100.00000000000001</v>
      </c>
      <c r="N20" s="367">
        <f t="shared" si="7"/>
        <v>108.3436282684042</v>
      </c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</row>
  </sheetData>
  <customSheetViews>
    <customSheetView guid="{5507C501-9942-4310-9E0E-987180BD1180}">
      <selection activeCell="T19" sqref="T19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A2" sqref="A2:A3"/>
      <pageMargins left="0.7" right="0.7" top="0.75" bottom="0.75" header="0.3" footer="0.3"/>
      <pageSetup paperSize="9" orientation="portrait" verticalDpi="0" r:id="rId2"/>
    </customSheetView>
  </customSheetViews>
  <mergeCells count="4">
    <mergeCell ref="N4:N5"/>
    <mergeCell ref="A4:A5"/>
    <mergeCell ref="B4:G4"/>
    <mergeCell ref="H4:M4"/>
  </mergeCells>
  <pageMargins left="0.7" right="0.7" top="0.75" bottom="0.75" header="0.3" footer="0.3"/>
  <pageSetup paperSize="9" scale="85" orientation="portrait" verticalDpi="0" r:id="rId3"/>
  <ignoredErrors>
    <ignoredError sqref="F9:G9 F7:G7 I7 F8:G8 I8 F12:L13 F11:G11 I11 F10:G10 I10 I9 F16:G16 F14:G14 I14 F15:G15 I15 F18:G18 I18 F17:G17 I17 I16 K7:L7 K8:L8 K11:L11 K10:L10 K9:L9 K14:L14 K15:L15 K18:L18 K17:L17 K16:L16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9">
    <tabColor theme="0" tint="-4.9989318521683403E-2"/>
  </sheetPr>
  <dimension ref="A1:FR15"/>
  <sheetViews>
    <sheetView showGridLines="0" topLeftCell="A2" zoomScaleNormal="100" workbookViewId="0">
      <selection activeCell="B23" sqref="B23"/>
    </sheetView>
  </sheetViews>
  <sheetFormatPr defaultRowHeight="14.4" x14ac:dyDescent="0.3"/>
  <cols>
    <col min="1" max="1" width="38.77734375" style="299" customWidth="1"/>
    <col min="2" max="2" width="9.109375" style="299"/>
    <col min="3" max="3" width="5" style="299" bestFit="1" customWidth="1"/>
    <col min="4" max="4" width="9.109375" style="299"/>
    <col min="5" max="5" width="5" style="299" bestFit="1" customWidth="1"/>
    <col min="6" max="6" width="9.109375" style="299"/>
    <col min="7" max="7" width="5" style="299" bestFit="1" customWidth="1"/>
    <col min="8" max="8" width="9.77734375" style="638" customWidth="1"/>
    <col min="9" max="14" width="5.77734375" customWidth="1"/>
  </cols>
  <sheetData>
    <row r="1" spans="1:174" ht="14.4" hidden="1" customHeight="1" thickBot="1" x14ac:dyDescent="0.35"/>
    <row r="3" spans="1:174" x14ac:dyDescent="0.3">
      <c r="A3" s="46" t="s">
        <v>254</v>
      </c>
      <c r="B3" s="46"/>
      <c r="C3" s="46"/>
      <c r="D3" s="46"/>
      <c r="E3" s="46"/>
      <c r="F3" s="46"/>
      <c r="G3" s="46"/>
      <c r="H3" s="65" t="s">
        <v>310</v>
      </c>
      <c r="I3" s="8"/>
      <c r="J3" s="8"/>
      <c r="K3" s="8"/>
      <c r="L3" s="8"/>
    </row>
    <row r="4" spans="1:174" x14ac:dyDescent="0.3">
      <c r="A4" s="751" t="s">
        <v>10</v>
      </c>
      <c r="B4" s="775" t="s">
        <v>522</v>
      </c>
      <c r="C4" s="776"/>
      <c r="D4" s="775" t="s">
        <v>551</v>
      </c>
      <c r="E4" s="776"/>
      <c r="F4" s="775" t="s">
        <v>559</v>
      </c>
      <c r="G4" s="776"/>
      <c r="H4" s="765" t="str">
        <f>IF(LEN(F4)&gt;5,"Индекс " &amp; MID(F4,1,2) &amp; "-" &amp; MID(F4,4,5) &amp; "/" &amp; D4,"Индекс " &amp; F4 &amp; "/" &amp; D4)</f>
        <v>Индекс 2024./2023.</v>
      </c>
      <c r="I4" s="8"/>
      <c r="J4" s="8"/>
      <c r="K4" s="8"/>
      <c r="L4" s="8"/>
    </row>
    <row r="5" spans="1:174" x14ac:dyDescent="0.3">
      <c r="A5" s="752"/>
      <c r="B5" s="624" t="s">
        <v>2</v>
      </c>
      <c r="C5" s="625" t="s">
        <v>3</v>
      </c>
      <c r="D5" s="624" t="s">
        <v>2</v>
      </c>
      <c r="E5" s="625" t="s">
        <v>3</v>
      </c>
      <c r="F5" s="624" t="s">
        <v>2</v>
      </c>
      <c r="G5" s="625" t="s">
        <v>3</v>
      </c>
      <c r="H5" s="774"/>
      <c r="I5" s="8"/>
      <c r="J5" s="8"/>
      <c r="K5" s="8"/>
      <c r="L5" s="8"/>
    </row>
    <row r="6" spans="1:174" s="8" customFormat="1" ht="12" customHeight="1" x14ac:dyDescent="0.3">
      <c r="A6" s="532" t="s">
        <v>411</v>
      </c>
      <c r="B6" s="533">
        <f t="shared" ref="B6:G6" si="0">B7+B8+B9+B12</f>
        <v>1277.2350000000001</v>
      </c>
      <c r="C6" s="442">
        <f t="shared" si="0"/>
        <v>99.999999999999986</v>
      </c>
      <c r="D6" s="533">
        <f t="shared" si="0"/>
        <v>1393.174</v>
      </c>
      <c r="E6" s="442">
        <f t="shared" si="0"/>
        <v>100.00000000000001</v>
      </c>
      <c r="F6" s="533">
        <f t="shared" si="0"/>
        <v>1576.5609999999999</v>
      </c>
      <c r="G6" s="442">
        <f t="shared" si="0"/>
        <v>100</v>
      </c>
      <c r="H6" s="645">
        <f>IF(D6&lt;&gt;0,F6/D6*100,"-")</f>
        <v>113.16325168284793</v>
      </c>
      <c r="I6"/>
      <c r="J6"/>
      <c r="K6"/>
      <c r="L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</row>
    <row r="7" spans="1:174" s="369" customFormat="1" ht="12" customHeight="1" x14ac:dyDescent="0.3">
      <c r="A7" s="443" t="s">
        <v>412</v>
      </c>
      <c r="B7" s="280">
        <v>634.23199999999997</v>
      </c>
      <c r="C7" s="368">
        <f>IF(B$6&lt;&gt;0,B7*100/B$6,0)</f>
        <v>49.656641103634016</v>
      </c>
      <c r="D7" s="280">
        <v>660.00300000000004</v>
      </c>
      <c r="E7" s="368">
        <f t="shared" ref="E7:E12" si="1">IF(D$6&lt;&gt;0,D7*100/D$6,0)</f>
        <v>47.374053779355634</v>
      </c>
      <c r="F7" s="280">
        <v>778.71</v>
      </c>
      <c r="G7" s="368">
        <f t="shared" ref="G7:G12" si="2">IF(F$6&lt;&gt;0,F7*100/F$6,0)</f>
        <v>49.392950859497354</v>
      </c>
      <c r="H7" s="48">
        <f>IF(D7&lt;&gt;0,F7/D7*100,"-")</f>
        <v>117.98582733714846</v>
      </c>
      <c r="I7"/>
      <c r="J7"/>
      <c r="K7"/>
      <c r="L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</row>
    <row r="8" spans="1:174" s="369" customFormat="1" ht="12" customHeight="1" x14ac:dyDescent="0.3">
      <c r="A8" s="443" t="s">
        <v>413</v>
      </c>
      <c r="B8" s="280">
        <v>0.75800000000000001</v>
      </c>
      <c r="C8" s="368">
        <f t="shared" ref="C8:C11" si="3">IF($B$6&lt;&gt;0,B8*100/$B$6,0)</f>
        <v>5.9346948682114091E-2</v>
      </c>
      <c r="D8" s="280">
        <v>0.876</v>
      </c>
      <c r="E8" s="368">
        <f t="shared" si="1"/>
        <v>6.2878003752582234E-2</v>
      </c>
      <c r="F8" s="280">
        <v>26.074000000000002</v>
      </c>
      <c r="G8" s="368">
        <f t="shared" si="2"/>
        <v>1.6538529114953371</v>
      </c>
      <c r="H8" s="48">
        <f t="shared" ref="H8:H12" si="4">IF(D8&lt;&gt;0,F8/D8*100,"-")</f>
        <v>2976.4840182648404</v>
      </c>
      <c r="I8"/>
      <c r="J8"/>
      <c r="K8"/>
      <c r="L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</row>
    <row r="9" spans="1:174" s="369" customFormat="1" ht="12" customHeight="1" x14ac:dyDescent="0.3">
      <c r="A9" s="443" t="s">
        <v>414</v>
      </c>
      <c r="B9" s="280">
        <v>641.54700000000003</v>
      </c>
      <c r="C9" s="368">
        <f t="shared" si="3"/>
        <v>50.229362646654685</v>
      </c>
      <c r="D9" s="280">
        <v>731.96600000000001</v>
      </c>
      <c r="E9" s="368">
        <f t="shared" si="1"/>
        <v>52.539453076213029</v>
      </c>
      <c r="F9" s="280">
        <v>771.49599999999998</v>
      </c>
      <c r="G9" s="368">
        <f t="shared" si="2"/>
        <v>48.935372624338669</v>
      </c>
      <c r="H9" s="48">
        <f t="shared" si="4"/>
        <v>105.40052406805781</v>
      </c>
      <c r="I9"/>
      <c r="J9"/>
      <c r="K9"/>
      <c r="L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</row>
    <row r="10" spans="1:174" s="369" customFormat="1" ht="12" customHeight="1" x14ac:dyDescent="0.3">
      <c r="A10" s="443" t="s">
        <v>415</v>
      </c>
      <c r="B10" s="280">
        <v>204.51900000000001</v>
      </c>
      <c r="C10" s="368">
        <f t="shared" si="3"/>
        <v>16.012636672186403</v>
      </c>
      <c r="D10" s="280">
        <v>238.30699999999999</v>
      </c>
      <c r="E10" s="368">
        <f t="shared" si="1"/>
        <v>17.105329269710744</v>
      </c>
      <c r="F10" s="280">
        <v>258.10899999999998</v>
      </c>
      <c r="G10" s="368">
        <f t="shared" si="2"/>
        <v>16.371646894728464</v>
      </c>
      <c r="H10" s="48">
        <f t="shared" si="4"/>
        <v>108.30944957554752</v>
      </c>
      <c r="I10"/>
      <c r="J10"/>
      <c r="K10"/>
      <c r="L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</row>
    <row r="11" spans="1:174" s="369" customFormat="1" ht="12" customHeight="1" x14ac:dyDescent="0.3">
      <c r="A11" s="443" t="s">
        <v>416</v>
      </c>
      <c r="B11" s="280">
        <v>437.02800000000002</v>
      </c>
      <c r="C11" s="368">
        <f t="shared" si="3"/>
        <v>34.216725974468282</v>
      </c>
      <c r="D11" s="280">
        <v>493.65899999999999</v>
      </c>
      <c r="E11" s="368">
        <f t="shared" si="1"/>
        <v>35.434123806502278</v>
      </c>
      <c r="F11" s="280">
        <v>513.38699999999994</v>
      </c>
      <c r="G11" s="368">
        <f t="shared" si="2"/>
        <v>32.563725729610205</v>
      </c>
      <c r="H11" s="48">
        <f t="shared" si="4"/>
        <v>103.99628083353083</v>
      </c>
      <c r="I11"/>
      <c r="J11"/>
      <c r="K11"/>
      <c r="L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</row>
    <row r="12" spans="1:174" s="369" customFormat="1" ht="12" customHeight="1" x14ac:dyDescent="0.3">
      <c r="A12" s="443" t="s">
        <v>417</v>
      </c>
      <c r="B12" s="280">
        <v>0.69799999999999995</v>
      </c>
      <c r="C12" s="368">
        <f>IF($B$6&lt;&gt;0,B12*100/$B$6,0)</f>
        <v>5.4649301029176298E-2</v>
      </c>
      <c r="D12" s="280">
        <v>0.32900000000000001</v>
      </c>
      <c r="E12" s="368">
        <f t="shared" si="1"/>
        <v>2.3615140678766616E-2</v>
      </c>
      <c r="F12" s="280">
        <v>0.28100000000000003</v>
      </c>
      <c r="G12" s="368">
        <f t="shared" si="2"/>
        <v>1.78236046686427E-2</v>
      </c>
      <c r="H12" s="48">
        <f t="shared" si="4"/>
        <v>85.41033434650457</v>
      </c>
      <c r="I12"/>
      <c r="J12"/>
      <c r="K12"/>
      <c r="L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</row>
    <row r="13" spans="1:174" s="369" customFormat="1" ht="12" customHeight="1" x14ac:dyDescent="0.3">
      <c r="A13" s="534" t="s">
        <v>418</v>
      </c>
      <c r="B13" s="535">
        <v>128.381</v>
      </c>
      <c r="C13" s="442"/>
      <c r="D13" s="535">
        <v>132.87700000000001</v>
      </c>
      <c r="E13" s="442"/>
      <c r="F13" s="535">
        <v>162.66800000000001</v>
      </c>
      <c r="G13" s="442"/>
      <c r="H13" s="96">
        <f>IF(D13&lt;&gt;0,F13/D13*100,"-")</f>
        <v>122.41998238972884</v>
      </c>
      <c r="I13"/>
      <c r="J13"/>
      <c r="K13"/>
      <c r="L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</row>
    <row r="14" spans="1:174" s="369" customFormat="1" ht="12" customHeight="1" x14ac:dyDescent="0.3">
      <c r="A14" s="534" t="s">
        <v>419</v>
      </c>
      <c r="B14" s="535">
        <v>82.733999999999995</v>
      </c>
      <c r="C14" s="442"/>
      <c r="D14" s="535">
        <v>90.129000000000005</v>
      </c>
      <c r="E14" s="442"/>
      <c r="F14" s="535">
        <v>88.578000000000003</v>
      </c>
      <c r="G14" s="442"/>
      <c r="H14" s="96">
        <f>IF(D14&lt;&gt;0,F14/D14*100,"-")</f>
        <v>98.279133242352628</v>
      </c>
      <c r="I14"/>
      <c r="J14"/>
      <c r="K14"/>
      <c r="L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</row>
    <row r="15" spans="1:174" s="9" customFormat="1" ht="12" customHeight="1" thickBot="1" x14ac:dyDescent="0.35">
      <c r="A15" s="539" t="s">
        <v>498</v>
      </c>
      <c r="B15" s="537">
        <f>+B6+B13+B14</f>
        <v>1488.3500000000001</v>
      </c>
      <c r="C15" s="538"/>
      <c r="D15" s="537">
        <f>+D6+D13+D14</f>
        <v>1616.1799999999998</v>
      </c>
      <c r="E15" s="538"/>
      <c r="F15" s="537">
        <f>+F6+F13+F14</f>
        <v>1827.8069999999998</v>
      </c>
      <c r="G15" s="538"/>
      <c r="H15" s="83">
        <f>IF(D15&lt;&gt;0,F15/D15*100,"-")</f>
        <v>113.09427167765966</v>
      </c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</row>
  </sheetData>
  <customSheetViews>
    <customSheetView guid="{5507C501-9942-4310-9E0E-987180BD1180}">
      <selection sqref="A1:H1"/>
      <pageMargins left="0.7" right="0.7" top="0.75" bottom="0.75" header="0.3" footer="0.3"/>
    </customSheetView>
    <customSheetView guid="{54A0E5BB-5A66-4415-88CA-030F3BDE4337}" topLeftCell="A4">
      <selection activeCell="E21" sqref="E21"/>
      <pageMargins left="0.7" right="0.7" top="0.75" bottom="0.75" header="0.3" footer="0.3"/>
    </customSheetView>
  </customSheetViews>
  <mergeCells count="5">
    <mergeCell ref="H4:H5"/>
    <mergeCell ref="A4:A5"/>
    <mergeCell ref="B4:C4"/>
    <mergeCell ref="D4:E4"/>
    <mergeCell ref="F4:G4"/>
  </mergeCells>
  <pageMargins left="0.7" right="0.7" top="0.75" bottom="0.75" header="0.3" footer="0.3"/>
  <pageSetup scale="9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1">
    <tabColor theme="0" tint="-4.9989318521683403E-2"/>
  </sheetPr>
  <dimension ref="A1:H26"/>
  <sheetViews>
    <sheetView showGridLines="0" topLeftCell="A2" zoomScaleNormal="100" workbookViewId="0">
      <selection activeCell="O28" sqref="O28"/>
    </sheetView>
  </sheetViews>
  <sheetFormatPr defaultRowHeight="14.4" x14ac:dyDescent="0.3"/>
  <cols>
    <col min="1" max="1" width="33.6640625" customWidth="1"/>
    <col min="2" max="2" width="8.6640625" customWidth="1"/>
    <col min="3" max="3" width="6.33203125" bestFit="1" customWidth="1"/>
    <col min="4" max="4" width="8.6640625" customWidth="1"/>
    <col min="5" max="5" width="6.33203125" bestFit="1" customWidth="1"/>
    <col min="6" max="6" width="8.6640625" customWidth="1"/>
    <col min="7" max="7" width="6.33203125" bestFit="1" customWidth="1"/>
    <col min="8" max="8" width="8.77734375" customWidth="1"/>
    <col min="10" max="14" width="5.77734375" customWidth="1"/>
  </cols>
  <sheetData>
    <row r="1" spans="1:8" ht="14.4" hidden="1" customHeight="1" x14ac:dyDescent="0.3"/>
    <row r="3" spans="1:8" x14ac:dyDescent="0.3">
      <c r="A3" s="46" t="s">
        <v>255</v>
      </c>
      <c r="B3" s="46"/>
      <c r="C3" s="46"/>
      <c r="D3" s="46"/>
      <c r="E3" s="46"/>
      <c r="F3" s="46"/>
      <c r="G3" s="46"/>
      <c r="H3" s="275" t="s">
        <v>310</v>
      </c>
    </row>
    <row r="4" spans="1:8" x14ac:dyDescent="0.3">
      <c r="A4" s="777" t="s">
        <v>10</v>
      </c>
      <c r="B4" s="775" t="s">
        <v>522</v>
      </c>
      <c r="C4" s="776"/>
      <c r="D4" s="775" t="s">
        <v>551</v>
      </c>
      <c r="E4" s="776"/>
      <c r="F4" s="775" t="s">
        <v>559</v>
      </c>
      <c r="G4" s="776"/>
      <c r="H4" s="767" t="str">
        <f>IF(LEN(F4)&gt;5,"Индекс " &amp; MID(F4,1,2) &amp; "-" &amp; MID(F4,4,5) &amp; "/" &amp; D4,"Индекс " &amp; F4 &amp; "/" &amp; D4)</f>
        <v>Индекс 2024./2023.</v>
      </c>
    </row>
    <row r="5" spans="1:8" x14ac:dyDescent="0.3">
      <c r="A5" s="778"/>
      <c r="B5" s="624" t="s">
        <v>2</v>
      </c>
      <c r="C5" s="625" t="s">
        <v>3</v>
      </c>
      <c r="D5" s="624" t="s">
        <v>2</v>
      </c>
      <c r="E5" s="625" t="s">
        <v>3</v>
      </c>
      <c r="F5" s="624" t="s">
        <v>2</v>
      </c>
      <c r="G5" s="626" t="s">
        <v>3</v>
      </c>
      <c r="H5" s="768"/>
    </row>
    <row r="6" spans="1:8" ht="12" customHeight="1" x14ac:dyDescent="0.3">
      <c r="A6" s="448" t="s">
        <v>20</v>
      </c>
      <c r="B6" s="445">
        <f>B7+B8</f>
        <v>352.60500000000002</v>
      </c>
      <c r="C6" s="449">
        <f>IF(B$24&lt;&gt;0,ROUND(B6*100/B$24,1),0)</f>
        <v>13.4</v>
      </c>
      <c r="D6" s="445">
        <f>D7+D8</f>
        <v>392.875</v>
      </c>
      <c r="E6" s="449">
        <f>IF(D$24&lt;&gt;0,ROUND(D6*100/D$24,1),0)</f>
        <v>15.3</v>
      </c>
      <c r="F6" s="445">
        <f>F7+F8</f>
        <v>418.238</v>
      </c>
      <c r="G6" s="449">
        <f>IF(F$24&lt;&gt;0,ROUND(F6*100/F$24,1),0)</f>
        <v>15.2</v>
      </c>
      <c r="H6" s="447">
        <f>IF(D6&lt;&gt;0,F6/D6*100,"-")</f>
        <v>106.45574292077633</v>
      </c>
    </row>
    <row r="7" spans="1:8" ht="12" customHeight="1" x14ac:dyDescent="0.3">
      <c r="A7" s="90" t="s">
        <v>19</v>
      </c>
      <c r="B7" s="454">
        <v>210.386</v>
      </c>
      <c r="C7" s="453">
        <f t="shared" ref="C7:G23" si="0">IF(B$24&lt;&gt;0,ROUND(B7*100/B$24,1),0)</f>
        <v>8</v>
      </c>
      <c r="D7" s="454">
        <v>233.82</v>
      </c>
      <c r="E7" s="453">
        <f t="shared" si="0"/>
        <v>9.1</v>
      </c>
      <c r="F7" s="454">
        <v>254.33</v>
      </c>
      <c r="G7" s="453">
        <f t="shared" si="0"/>
        <v>9.1999999999999993</v>
      </c>
      <c r="H7" s="48">
        <f>IF(D7&lt;&gt;0,F7/D7*100,"-")</f>
        <v>108.77170473013429</v>
      </c>
    </row>
    <row r="8" spans="1:8" ht="12" customHeight="1" x14ac:dyDescent="0.3">
      <c r="A8" s="446" t="s">
        <v>434</v>
      </c>
      <c r="B8" s="454">
        <v>142.21899999999999</v>
      </c>
      <c r="C8" s="455">
        <f t="shared" si="0"/>
        <v>5.4</v>
      </c>
      <c r="D8" s="454">
        <v>159.05500000000001</v>
      </c>
      <c r="E8" s="455">
        <f>IF(D$24&lt;&gt;0,ROUND(D8*100/D$24,1),0)</f>
        <v>6.2</v>
      </c>
      <c r="F8" s="454">
        <v>163.90799999999999</v>
      </c>
      <c r="G8" s="455">
        <f t="shared" si="0"/>
        <v>5.9</v>
      </c>
      <c r="H8" s="456">
        <f t="shared" ref="H8" si="1">IF(D8&lt;&gt;0,F8/D8*100,"-")</f>
        <v>103.05114583005877</v>
      </c>
    </row>
    <row r="9" spans="1:8" ht="12" customHeight="1" x14ac:dyDescent="0.3">
      <c r="A9" s="448" t="s">
        <v>21</v>
      </c>
      <c r="B9" s="445">
        <f>B10+B11</f>
        <v>1806.76</v>
      </c>
      <c r="C9" s="449">
        <f>IF(B$24&lt;&gt;0,ROUND(B9*100/B$24,1),0)</f>
        <v>68.5</v>
      </c>
      <c r="D9" s="445">
        <f>D10+D11</f>
        <v>1463.6510000000001</v>
      </c>
      <c r="E9" s="449">
        <f>IF(D$24&lt;&gt;0,ROUND(D9*100/D$24,1),0)</f>
        <v>57.2</v>
      </c>
      <c r="F9" s="445">
        <f>F10+F11</f>
        <v>1567.54</v>
      </c>
      <c r="G9" s="449">
        <f>IF(F$24&lt;&gt;0,ROUND(F9*100/F$24,1),0)</f>
        <v>56.9</v>
      </c>
      <c r="H9" s="447">
        <f>IF(D9&lt;&gt;0,F9/D9*100,"-")</f>
        <v>107.0979352318278</v>
      </c>
    </row>
    <row r="10" spans="1:8" ht="12" customHeight="1" x14ac:dyDescent="0.3">
      <c r="A10" s="90" t="s">
        <v>19</v>
      </c>
      <c r="B10" s="454">
        <v>1806.76</v>
      </c>
      <c r="C10" s="453">
        <f t="shared" si="0"/>
        <v>68.5</v>
      </c>
      <c r="D10" s="454">
        <v>1463.6510000000001</v>
      </c>
      <c r="E10" s="453">
        <f t="shared" si="0"/>
        <v>57.2</v>
      </c>
      <c r="F10" s="454">
        <v>1453.5889999999999</v>
      </c>
      <c r="G10" s="453">
        <f t="shared" si="0"/>
        <v>52.7</v>
      </c>
      <c r="H10" s="48">
        <f t="shared" ref="H10:H11" si="2">IF(D10&lt;&gt;0,F10/D10*100,"-")</f>
        <v>99.312541036080319</v>
      </c>
    </row>
    <row r="11" spans="1:8" ht="12" customHeight="1" x14ac:dyDescent="0.3">
      <c r="A11" s="446" t="s">
        <v>434</v>
      </c>
      <c r="B11" s="457">
        <v>0</v>
      </c>
      <c r="C11" s="455">
        <f t="shared" si="0"/>
        <v>0</v>
      </c>
      <c r="D11" s="457">
        <v>0</v>
      </c>
      <c r="E11" s="455">
        <f t="shared" si="0"/>
        <v>0</v>
      </c>
      <c r="F11" s="457">
        <v>113.95099999999999</v>
      </c>
      <c r="G11" s="455">
        <f>IF(F$24&lt;&gt;0,ROUND(F11*100/F$24,1),0)</f>
        <v>4.0999999999999996</v>
      </c>
      <c r="H11" s="456" t="str">
        <f t="shared" si="2"/>
        <v>-</v>
      </c>
    </row>
    <row r="12" spans="1:8" ht="12" customHeight="1" x14ac:dyDescent="0.3">
      <c r="A12" s="448" t="s">
        <v>22</v>
      </c>
      <c r="B12" s="445">
        <f>B13+B14</f>
        <v>26.122</v>
      </c>
      <c r="C12" s="449">
        <f>IF(B$24&lt;&gt;0,ROUND(B12*100/B$24,1),0)</f>
        <v>1</v>
      </c>
      <c r="D12" s="445">
        <f>D13+D14</f>
        <v>29.857000000000003</v>
      </c>
      <c r="E12" s="449">
        <f>IF(D$24&lt;&gt;0,ROUND(D12*100/D$24,1),0)</f>
        <v>1.2</v>
      </c>
      <c r="F12" s="445">
        <f>F13+F14</f>
        <v>94.646999999999991</v>
      </c>
      <c r="G12" s="449">
        <f>IF(F$24&lt;&gt;0,ROUND(F12*100/F$24,1),0)</f>
        <v>3.4</v>
      </c>
      <c r="H12" s="447">
        <f>IF(D12&lt;&gt;0,F12/D12*100,"-")</f>
        <v>317.00103828247978</v>
      </c>
    </row>
    <row r="13" spans="1:8" ht="12" customHeight="1" x14ac:dyDescent="0.3">
      <c r="A13" s="90" t="s">
        <v>19</v>
      </c>
      <c r="B13" s="454">
        <v>1.143</v>
      </c>
      <c r="C13" s="453">
        <f t="shared" si="0"/>
        <v>0</v>
      </c>
      <c r="D13" s="454">
        <v>1.4139999999999999</v>
      </c>
      <c r="E13" s="453">
        <f t="shared" si="0"/>
        <v>0.1</v>
      </c>
      <c r="F13" s="454">
        <v>57.33</v>
      </c>
      <c r="G13" s="453">
        <f t="shared" si="0"/>
        <v>2.1</v>
      </c>
      <c r="H13" s="48">
        <f t="shared" ref="H13:H14" si="3">IF(D13&lt;&gt;0,F13/D13*100,"-")</f>
        <v>4054.4554455445541</v>
      </c>
    </row>
    <row r="14" spans="1:8" ht="12" customHeight="1" x14ac:dyDescent="0.3">
      <c r="A14" s="446" t="s">
        <v>434</v>
      </c>
      <c r="B14" s="457">
        <v>24.978999999999999</v>
      </c>
      <c r="C14" s="455">
        <f t="shared" si="0"/>
        <v>0.9</v>
      </c>
      <c r="D14" s="457">
        <v>28.443000000000001</v>
      </c>
      <c r="E14" s="455">
        <f t="shared" si="0"/>
        <v>1.1000000000000001</v>
      </c>
      <c r="F14" s="457">
        <v>37.317</v>
      </c>
      <c r="G14" s="455">
        <f t="shared" si="0"/>
        <v>1.4</v>
      </c>
      <c r="H14" s="456">
        <f t="shared" si="3"/>
        <v>131.19924058643602</v>
      </c>
    </row>
    <row r="15" spans="1:8" ht="12" customHeight="1" x14ac:dyDescent="0.3">
      <c r="A15" s="448" t="s">
        <v>23</v>
      </c>
      <c r="B15" s="445">
        <f>B16+B17</f>
        <v>451.11900000000003</v>
      </c>
      <c r="C15" s="449">
        <f>IF(B$24&lt;&gt;0,ROUND(B15*100/B$24,1),0)</f>
        <v>17.100000000000001</v>
      </c>
      <c r="D15" s="445">
        <f>D16+D17</f>
        <v>673.65700000000004</v>
      </c>
      <c r="E15" s="449">
        <f>IF(D$24&lt;&gt;0,ROUND(D15*100/D$24,1),0)</f>
        <v>26.3</v>
      </c>
      <c r="F15" s="445">
        <f>F16+F17</f>
        <v>675.50599999999997</v>
      </c>
      <c r="G15" s="449">
        <f>IF(F$24&lt;&gt;0,ROUND(F15*100/F$24,1),0)</f>
        <v>24.5</v>
      </c>
      <c r="H15" s="447">
        <f>IF(D15&lt;&gt;0,F15/D15*100,"-")</f>
        <v>100.27447202359656</v>
      </c>
    </row>
    <row r="16" spans="1:8" ht="12" customHeight="1" x14ac:dyDescent="0.3">
      <c r="A16" s="90" t="s">
        <v>19</v>
      </c>
      <c r="B16" s="454">
        <v>0</v>
      </c>
      <c r="C16" s="453">
        <f>IF(B$24&lt;&gt;0,ROUND(B16*100/B$24,1),0)</f>
        <v>0</v>
      </c>
      <c r="D16" s="454">
        <v>0</v>
      </c>
      <c r="E16" s="453">
        <f>IF(D$24&lt;&gt;0,ROUND(D16*100/D$24,1),0)</f>
        <v>0</v>
      </c>
      <c r="F16" s="454">
        <v>0</v>
      </c>
      <c r="G16" s="453">
        <f>IF(F$24&lt;&gt;0,ROUND(F16*100/F$24,1),0)</f>
        <v>0</v>
      </c>
      <c r="H16" s="48" t="str">
        <f t="shared" ref="H16:H17" si="4">IF(D16&lt;&gt;0,F16/D16*100,"-")</f>
        <v>-</v>
      </c>
    </row>
    <row r="17" spans="1:8" ht="12" customHeight="1" x14ac:dyDescent="0.3">
      <c r="A17" s="446" t="s">
        <v>434</v>
      </c>
      <c r="B17" s="457">
        <v>451.11900000000003</v>
      </c>
      <c r="C17" s="455">
        <f t="shared" si="0"/>
        <v>17.100000000000001</v>
      </c>
      <c r="D17" s="457">
        <v>673.65700000000004</v>
      </c>
      <c r="E17" s="455">
        <f t="shared" si="0"/>
        <v>26.3</v>
      </c>
      <c r="F17" s="457">
        <v>675.50599999999997</v>
      </c>
      <c r="G17" s="455">
        <f t="shared" si="0"/>
        <v>24.5</v>
      </c>
      <c r="H17" s="456">
        <f t="shared" si="4"/>
        <v>100.27447202359656</v>
      </c>
    </row>
    <row r="18" spans="1:8" ht="12" customHeight="1" x14ac:dyDescent="0.3">
      <c r="A18" s="448" t="s">
        <v>24</v>
      </c>
      <c r="B18" s="445">
        <f>B19+B20</f>
        <v>0</v>
      </c>
      <c r="C18" s="449">
        <f>IF(B$24&lt;&gt;0,ROUND(B18*100/B$24,1),0)</f>
        <v>0</v>
      </c>
      <c r="D18" s="445">
        <f>D19+D20</f>
        <v>0</v>
      </c>
      <c r="E18" s="449">
        <f>IF(D$24&lt;&gt;0,ROUND(D18*100/D$24,1),0)</f>
        <v>0</v>
      </c>
      <c r="F18" s="445">
        <f>F19+F20</f>
        <v>0</v>
      </c>
      <c r="G18" s="449">
        <f>IF(F$24&lt;&gt;0,ROUND(F18*100/F$24,1),0)</f>
        <v>0</v>
      </c>
      <c r="H18" s="447" t="str">
        <f>IF(D18&lt;&gt;0,F18/D18*100,"-")</f>
        <v>-</v>
      </c>
    </row>
    <row r="19" spans="1:8" ht="12" customHeight="1" x14ac:dyDescent="0.3">
      <c r="A19" s="90" t="s">
        <v>19</v>
      </c>
      <c r="B19" s="454">
        <v>0</v>
      </c>
      <c r="C19" s="453">
        <f t="shared" si="0"/>
        <v>0</v>
      </c>
      <c r="D19" s="454">
        <v>0</v>
      </c>
      <c r="E19" s="453">
        <f t="shared" si="0"/>
        <v>0</v>
      </c>
      <c r="F19" s="454">
        <v>0</v>
      </c>
      <c r="G19" s="453">
        <f t="shared" si="0"/>
        <v>0</v>
      </c>
      <c r="H19" s="48" t="str">
        <f t="shared" ref="H19:H20" si="5">IF(D19&lt;&gt;0,F19/D19*100,"-")</f>
        <v>-</v>
      </c>
    </row>
    <row r="20" spans="1:8" ht="12" customHeight="1" x14ac:dyDescent="0.3">
      <c r="A20" s="446" t="s">
        <v>434</v>
      </c>
      <c r="B20" s="457">
        <v>0</v>
      </c>
      <c r="C20" s="455">
        <f t="shared" si="0"/>
        <v>0</v>
      </c>
      <c r="D20" s="457">
        <v>0</v>
      </c>
      <c r="E20" s="455">
        <f t="shared" si="0"/>
        <v>0</v>
      </c>
      <c r="F20" s="457">
        <v>0</v>
      </c>
      <c r="G20" s="455">
        <f t="shared" si="0"/>
        <v>0</v>
      </c>
      <c r="H20" s="456" t="str">
        <f t="shared" si="5"/>
        <v>-</v>
      </c>
    </row>
    <row r="21" spans="1:8" ht="12" customHeight="1" x14ac:dyDescent="0.3">
      <c r="A21" s="448" t="s">
        <v>25</v>
      </c>
      <c r="B21" s="445">
        <f>B22+B23</f>
        <v>0</v>
      </c>
      <c r="C21" s="449">
        <f>IF(B$24&lt;&gt;0,ROUND(B21*100/B$24,1),0)</f>
        <v>0</v>
      </c>
      <c r="D21" s="445">
        <f>D22+D23</f>
        <v>0</v>
      </c>
      <c r="E21" s="449">
        <f>IF(D$24&lt;&gt;0,ROUND(D21*100/D$24,1),0)</f>
        <v>0</v>
      </c>
      <c r="F21" s="445">
        <f>F22+F23</f>
        <v>0</v>
      </c>
      <c r="G21" s="449">
        <f>IF(F$24&lt;&gt;0,ROUND(F21*100/F$24,1),0)</f>
        <v>0</v>
      </c>
      <c r="H21" s="447" t="str">
        <f>IF(D21&lt;&gt;0,F21/D21*100,"-")</f>
        <v>-</v>
      </c>
    </row>
    <row r="22" spans="1:8" ht="12" customHeight="1" x14ac:dyDescent="0.3">
      <c r="A22" s="90" t="s">
        <v>19</v>
      </c>
      <c r="B22" s="454">
        <v>0</v>
      </c>
      <c r="C22" s="453">
        <f t="shared" si="0"/>
        <v>0</v>
      </c>
      <c r="D22" s="454">
        <v>0</v>
      </c>
      <c r="E22" s="453">
        <f t="shared" si="0"/>
        <v>0</v>
      </c>
      <c r="F22" s="454">
        <v>0</v>
      </c>
      <c r="G22" s="453">
        <f t="shared" si="0"/>
        <v>0</v>
      </c>
      <c r="H22" s="48" t="str">
        <f t="shared" ref="H22:H23" si="6">IF(D22&lt;&gt;0,F22/D22*100,"-")</f>
        <v>-</v>
      </c>
    </row>
    <row r="23" spans="1:8" ht="12" customHeight="1" x14ac:dyDescent="0.3">
      <c r="A23" s="90" t="s">
        <v>434</v>
      </c>
      <c r="B23" s="454">
        <v>0</v>
      </c>
      <c r="C23" s="453">
        <f t="shared" si="0"/>
        <v>0</v>
      </c>
      <c r="D23" s="454">
        <v>0</v>
      </c>
      <c r="E23" s="453">
        <f t="shared" si="0"/>
        <v>0</v>
      </c>
      <c r="F23" s="454">
        <v>0</v>
      </c>
      <c r="G23" s="453">
        <f t="shared" si="0"/>
        <v>0</v>
      </c>
      <c r="H23" s="586" t="str">
        <f t="shared" si="6"/>
        <v>-</v>
      </c>
    </row>
    <row r="24" spans="1:8" ht="12" customHeight="1" x14ac:dyDescent="0.3">
      <c r="A24" s="587" t="s">
        <v>30</v>
      </c>
      <c r="B24" s="588">
        <f>SUM(B25:B26)</f>
        <v>2636.6059999999998</v>
      </c>
      <c r="C24" s="590">
        <f>C25+C26</f>
        <v>100</v>
      </c>
      <c r="D24" s="588">
        <f>SUM(D25:D26)</f>
        <v>2560.04</v>
      </c>
      <c r="E24" s="590">
        <f>E25+E26</f>
        <v>100</v>
      </c>
      <c r="F24" s="588">
        <f>SUM(F25:F26)</f>
        <v>2755.9309999999996</v>
      </c>
      <c r="G24" s="590">
        <f>G25+G26</f>
        <v>100</v>
      </c>
      <c r="H24" s="589">
        <f>IF(D24&lt;&gt;0,F24/D24*100,"-")</f>
        <v>107.65187262699018</v>
      </c>
    </row>
    <row r="25" spans="1:8" ht="12" customHeight="1" x14ac:dyDescent="0.3">
      <c r="A25" s="90" t="s">
        <v>19</v>
      </c>
      <c r="B25" s="454">
        <f>B7+B10+B13+B16+B19+B22</f>
        <v>2018.289</v>
      </c>
      <c r="C25" s="453">
        <f>IF(B$24&lt;&gt;0,ROUND(B25*100/B$24,1),0)</f>
        <v>76.5</v>
      </c>
      <c r="D25" s="454">
        <f>D7+D10+D13+D16+D19+D22</f>
        <v>1698.885</v>
      </c>
      <c r="E25" s="453">
        <f>IF(D$24&lt;&gt;0,ROUND(D25*100/D$24,1),0)</f>
        <v>66.400000000000006</v>
      </c>
      <c r="F25" s="454">
        <f>F7+F10+F13+F16+F19+F22</f>
        <v>1765.2489999999998</v>
      </c>
      <c r="G25" s="453">
        <f>IF(F$24&lt;&gt;0,ROUND(F25*100/F$24,1),0)</f>
        <v>64.099999999999994</v>
      </c>
      <c r="H25" s="48">
        <f t="shared" ref="H25:H26" si="7">IF(D25&lt;&gt;0,F25/D25*100,"-")</f>
        <v>103.90632679669312</v>
      </c>
    </row>
    <row r="26" spans="1:8" ht="12" customHeight="1" thickBot="1" x14ac:dyDescent="0.35">
      <c r="A26" s="540" t="s">
        <v>434</v>
      </c>
      <c r="B26" s="459">
        <f>B8+B11+B14+B17+B20+B23</f>
        <v>618.31700000000001</v>
      </c>
      <c r="C26" s="591">
        <f>IF(B$24&lt;&gt;0,ROUND(B26*100/B$24,1),0)</f>
        <v>23.5</v>
      </c>
      <c r="D26" s="459">
        <f>D8+D11+D14+D17+D20+D23</f>
        <v>861.15500000000009</v>
      </c>
      <c r="E26" s="591">
        <f>IF(D$24&lt;&gt;0,ROUND(D26*100/D$24,1),0)</f>
        <v>33.6</v>
      </c>
      <c r="F26" s="459">
        <f>F8+F11+F14+F17+F20+F23</f>
        <v>990.68200000000002</v>
      </c>
      <c r="G26" s="591">
        <f>IF(F$24&lt;&gt;0,ROUND(F26*100/F$24,1),0)</f>
        <v>35.9</v>
      </c>
      <c r="H26" s="458">
        <f t="shared" si="7"/>
        <v>115.04107855148027</v>
      </c>
    </row>
  </sheetData>
  <customSheetViews>
    <customSheetView guid="{5507C501-9942-4310-9E0E-987180BD1180}">
      <selection activeCell="L14" sqref="L14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K10" sqref="K10"/>
      <pageMargins left="0.7" right="0.7" top="0.75" bottom="0.75" header="0.3" footer="0.3"/>
      <pageSetup paperSize="9" orientation="portrait" verticalDpi="0" r:id="rId2"/>
    </customSheetView>
  </customSheetViews>
  <mergeCells count="5">
    <mergeCell ref="H4:H5"/>
    <mergeCell ref="A4:A5"/>
    <mergeCell ref="B4:C4"/>
    <mergeCell ref="D4:E4"/>
    <mergeCell ref="F4:G4"/>
  </mergeCells>
  <pageMargins left="0.7" right="0.7" top="0.75" bottom="0.75" header="0.3" footer="0.3"/>
  <pageSetup paperSize="9" scale="91" orientation="portrait" verticalDpi="0" r:id="rId3"/>
  <ignoredErrors>
    <ignoredError sqref="C9:H9 C6:E6 F6:H6 C7 E7 G7:H7 C8 E8 C12:H12 C10 E10 C11 E11 C15:H15 C13 E13 C14 E14 C18:H18 C16 E16 C17 E17 C21:H21 C19 E19 C20 E20 C24:H26 C22 E22 C23 E23 G8:H8 G10:H10 G11:H11 G13:H13 G14:H14 G16:H16 G17:H17 G19:H19 G20:H20 G22:H22 G23:H23" formula="1"/>
  </ignoredErrors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3"/>
  <dimension ref="A1:FV14"/>
  <sheetViews>
    <sheetView showGridLines="0" topLeftCell="A2" zoomScaleNormal="100" workbookViewId="0">
      <selection activeCell="L23" sqref="L23"/>
    </sheetView>
  </sheetViews>
  <sheetFormatPr defaultColWidth="9.109375" defaultRowHeight="14.4" x14ac:dyDescent="0.3"/>
  <cols>
    <col min="1" max="1" width="32.33203125" customWidth="1"/>
    <col min="2" max="2" width="10.88671875" customWidth="1"/>
    <col min="3" max="3" width="5.5546875" customWidth="1"/>
    <col min="4" max="4" width="11.33203125" customWidth="1"/>
    <col min="5" max="5" width="5.5546875" customWidth="1"/>
    <col min="6" max="6" width="10.5546875" customWidth="1"/>
    <col min="7" max="7" width="5.5546875" customWidth="1"/>
    <col min="8" max="8" width="8.77734375" style="31" customWidth="1"/>
    <col min="9" max="14" width="5.77734375" customWidth="1"/>
  </cols>
  <sheetData>
    <row r="1" spans="1:178" ht="15" hidden="1" customHeight="1" thickBot="1" x14ac:dyDescent="0.35">
      <c r="A1" s="88"/>
    </row>
    <row r="3" spans="1:178" x14ac:dyDescent="0.3">
      <c r="A3" s="46" t="s">
        <v>256</v>
      </c>
      <c r="B3" s="46"/>
      <c r="C3" s="46"/>
      <c r="D3" s="46"/>
      <c r="E3" s="46"/>
      <c r="F3" s="46"/>
      <c r="G3" s="46"/>
      <c r="H3" s="65" t="s">
        <v>310</v>
      </c>
    </row>
    <row r="4" spans="1:178" ht="14.4" customHeight="1" x14ac:dyDescent="0.3">
      <c r="A4" s="751" t="s">
        <v>10</v>
      </c>
      <c r="B4" s="775" t="s">
        <v>522</v>
      </c>
      <c r="C4" s="776"/>
      <c r="D4" s="775" t="s">
        <v>551</v>
      </c>
      <c r="E4" s="776"/>
      <c r="F4" s="779" t="s">
        <v>559</v>
      </c>
      <c r="G4" s="780"/>
      <c r="H4" s="765" t="str">
        <f>IF(LEN(F4)&gt;5,"Индекс " &amp; MID(F4,1,2) &amp; "-" &amp; MID(F4,4,5) &amp; "/" &amp; D4,"Индекс " &amp; F4 &amp; "/" &amp; D4)</f>
        <v>Индекс 2024./2023.</v>
      </c>
    </row>
    <row r="5" spans="1:178" x14ac:dyDescent="0.3">
      <c r="A5" s="752"/>
      <c r="B5" s="156" t="s">
        <v>2</v>
      </c>
      <c r="C5" s="157" t="s">
        <v>3</v>
      </c>
      <c r="D5" s="156" t="s">
        <v>2</v>
      </c>
      <c r="E5" s="157" t="s">
        <v>3</v>
      </c>
      <c r="F5" s="156" t="s">
        <v>2</v>
      </c>
      <c r="G5" s="157" t="s">
        <v>3</v>
      </c>
      <c r="H5" s="774"/>
    </row>
    <row r="6" spans="1:178" ht="14.1" customHeight="1" x14ac:dyDescent="0.3">
      <c r="A6" s="53" t="s">
        <v>398</v>
      </c>
      <c r="B6" s="54">
        <v>547.85</v>
      </c>
      <c r="C6" s="417">
        <f>IF($B$14&lt;&gt;0,B6*100/$B$14,0)</f>
        <v>9.4572503284187057</v>
      </c>
      <c r="D6" s="54">
        <v>495.464</v>
      </c>
      <c r="E6" s="417">
        <f>IF($D$14&lt;&gt;0,D6*100/$D$14,0)</f>
        <v>8.1806403421886049</v>
      </c>
      <c r="F6" s="54">
        <v>554.67399999999998</v>
      </c>
      <c r="G6" s="417">
        <f>IF($F$14&lt;&gt;0,F6*100/$F$14,0)</f>
        <v>8.2846974748785058</v>
      </c>
      <c r="H6" s="48">
        <f>IF(D6&lt;&gt;0,F6/D6*100,"-")</f>
        <v>111.95041415723443</v>
      </c>
    </row>
    <row r="7" spans="1:178" ht="14.1" customHeight="1" x14ac:dyDescent="0.3">
      <c r="A7" s="53" t="s">
        <v>315</v>
      </c>
      <c r="B7" s="54">
        <v>325.24700000000001</v>
      </c>
      <c r="C7" s="417">
        <f>IF($B$14&lt;&gt;0,B7*100/$B$14,0)</f>
        <v>5.614570224636668</v>
      </c>
      <c r="D7" s="54">
        <v>341.834</v>
      </c>
      <c r="E7" s="417">
        <f t="shared" ref="E7:E13" si="0">IF($D$14&lt;&gt;0,D7*100/$D$14,0)</f>
        <v>5.6440447958513627</v>
      </c>
      <c r="F7" s="54">
        <v>474.71800000000002</v>
      </c>
      <c r="G7" s="417">
        <f t="shared" ref="G7:G13" si="1">IF($F$14&lt;&gt;0,F7*100/$F$14,0)</f>
        <v>7.0904621739605158</v>
      </c>
      <c r="H7" s="48">
        <f>IF(D7&lt;&gt;0,F7/D7*100,"-")</f>
        <v>138.87383934892375</v>
      </c>
    </row>
    <row r="8" spans="1:178" ht="14.1" customHeight="1" x14ac:dyDescent="0.3">
      <c r="A8" s="53" t="s">
        <v>316</v>
      </c>
      <c r="B8" s="54">
        <v>1902.711</v>
      </c>
      <c r="C8" s="417">
        <f t="shared" ref="C8:C13" si="2">IF($B$14&lt;&gt;0,B8*100/$B$14,0)</f>
        <v>32.845512876947858</v>
      </c>
      <c r="D8" s="54">
        <v>2098.8150000000001</v>
      </c>
      <c r="E8" s="417">
        <f t="shared" si="0"/>
        <v>34.653679500005197</v>
      </c>
      <c r="F8" s="54">
        <v>2266.9110000000001</v>
      </c>
      <c r="G8" s="417">
        <f t="shared" si="1"/>
        <v>33.85893666815879</v>
      </c>
      <c r="H8" s="48">
        <f>IF(D8&lt;&gt;0,F8/D8*100,"-")</f>
        <v>108.00909084411919</v>
      </c>
    </row>
    <row r="9" spans="1:178" ht="14.1" customHeight="1" x14ac:dyDescent="0.3">
      <c r="A9" s="53" t="s">
        <v>317</v>
      </c>
      <c r="B9" s="54">
        <v>11.476000000000001</v>
      </c>
      <c r="C9" s="417">
        <f t="shared" si="2"/>
        <v>0.19810423431401492</v>
      </c>
      <c r="D9" s="54">
        <v>12.942</v>
      </c>
      <c r="E9" s="417">
        <f t="shared" si="0"/>
        <v>0.21368625633467803</v>
      </c>
      <c r="F9" s="54">
        <v>9.85</v>
      </c>
      <c r="G9" s="417">
        <f t="shared" si="1"/>
        <v>0.14712113805145596</v>
      </c>
      <c r="H9" s="48">
        <f>IF(D9&lt;&gt;0,F9/D9*100,"-")</f>
        <v>76.108793076804204</v>
      </c>
    </row>
    <row r="10" spans="1:178" ht="14.1" customHeight="1" x14ac:dyDescent="0.3">
      <c r="A10" s="53" t="s">
        <v>318</v>
      </c>
      <c r="B10" s="54">
        <v>0</v>
      </c>
      <c r="C10" s="417">
        <f t="shared" si="2"/>
        <v>0</v>
      </c>
      <c r="D10" s="54">
        <v>0</v>
      </c>
      <c r="E10" s="417">
        <f t="shared" si="0"/>
        <v>0</v>
      </c>
      <c r="F10" s="54">
        <v>0</v>
      </c>
      <c r="G10" s="417">
        <f t="shared" si="1"/>
        <v>0</v>
      </c>
      <c r="H10" s="48" t="str">
        <f t="shared" ref="H10:H13" si="3">IF(D10&lt;&gt;0,F10/D10*100,"-")</f>
        <v>-</v>
      </c>
    </row>
    <row r="11" spans="1:178" ht="14.1" customHeight="1" x14ac:dyDescent="0.3">
      <c r="A11" s="53" t="s">
        <v>319</v>
      </c>
      <c r="B11" s="54">
        <v>58.847999999999999</v>
      </c>
      <c r="C11" s="417">
        <f t="shared" si="2"/>
        <v>1.0158624939797098</v>
      </c>
      <c r="D11" s="54">
        <v>68.075999999999993</v>
      </c>
      <c r="E11" s="417">
        <f t="shared" si="0"/>
        <v>1.1240075402750378</v>
      </c>
      <c r="F11" s="54">
        <v>74.546000000000006</v>
      </c>
      <c r="G11" s="417">
        <f t="shared" si="1"/>
        <v>1.1134306961607956</v>
      </c>
      <c r="H11" s="48">
        <f>IF(D11&lt;&gt;0,F11/D11*100,"-")</f>
        <v>109.50408367119104</v>
      </c>
    </row>
    <row r="12" spans="1:178" ht="14.1" customHeight="1" x14ac:dyDescent="0.3">
      <c r="A12" s="53" t="s">
        <v>400</v>
      </c>
      <c r="B12" s="54">
        <v>2924.6489999999999</v>
      </c>
      <c r="C12" s="417">
        <f t="shared" si="2"/>
        <v>50.486698395107119</v>
      </c>
      <c r="D12" s="54">
        <v>3017.951</v>
      </c>
      <c r="E12" s="417">
        <f t="shared" si="0"/>
        <v>49.829597511319569</v>
      </c>
      <c r="F12" s="54">
        <v>3303.2629999999999</v>
      </c>
      <c r="G12" s="417">
        <f t="shared" si="1"/>
        <v>49.338051963783407</v>
      </c>
      <c r="H12" s="48">
        <f>IF(D12&lt;&gt;0,F12/D12*100,"-")</f>
        <v>109.45383142403571</v>
      </c>
    </row>
    <row r="13" spans="1:178" ht="14.1" customHeight="1" x14ac:dyDescent="0.3">
      <c r="A13" s="53" t="s">
        <v>149</v>
      </c>
      <c r="B13" s="54">
        <v>22.129000000000001</v>
      </c>
      <c r="C13" s="417">
        <f t="shared" si="2"/>
        <v>0.38200144659592505</v>
      </c>
      <c r="D13" s="54">
        <v>21.460999999999999</v>
      </c>
      <c r="E13" s="417">
        <f t="shared" si="0"/>
        <v>0.35434405402553892</v>
      </c>
      <c r="F13" s="54">
        <v>11.201000000000001</v>
      </c>
      <c r="G13" s="417">
        <f t="shared" si="1"/>
        <v>0.16729988500653387</v>
      </c>
      <c r="H13" s="48">
        <f t="shared" si="3"/>
        <v>52.192348911979877</v>
      </c>
    </row>
    <row r="14" spans="1:178" s="2" customFormat="1" ht="14.1" customHeight="1" thickBot="1" x14ac:dyDescent="0.35">
      <c r="A14" s="81" t="s">
        <v>30</v>
      </c>
      <c r="B14" s="82">
        <f>SUM(B6:B13)</f>
        <v>5792.91</v>
      </c>
      <c r="C14" s="418">
        <f>SUM(C6:C13)</f>
        <v>100</v>
      </c>
      <c r="D14" s="82">
        <f>SUM(D6:D13)</f>
        <v>6056.5430000000006</v>
      </c>
      <c r="E14" s="418">
        <f>SUM(E6:E13)</f>
        <v>100</v>
      </c>
      <c r="F14" s="82">
        <f>SUM(F6:F13)</f>
        <v>6695.1629999999996</v>
      </c>
      <c r="G14" s="418">
        <f t="shared" ref="G14" si="4">SUM(G6:G13)</f>
        <v>100</v>
      </c>
      <c r="H14" s="83">
        <f>IF(D14&lt;&gt;0,F14/D14*100,"-")</f>
        <v>110.54429895073805</v>
      </c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</row>
  </sheetData>
  <customSheetViews>
    <customSheetView guid="{5507C501-9942-4310-9E0E-987180BD1180}">
      <selection sqref="A1:H1"/>
      <pageMargins left="0.7" right="0.7" top="0.75" bottom="0.75" header="0.3" footer="0.3"/>
    </customSheetView>
    <customSheetView guid="{54A0E5BB-5A66-4415-88CA-030F3BDE4337}">
      <selection activeCell="H14" sqref="H14"/>
      <pageMargins left="0.7" right="0.7" top="0.75" bottom="0.75" header="0.3" footer="0.3"/>
    </customSheetView>
  </customSheetViews>
  <mergeCells count="5">
    <mergeCell ref="A4:A5"/>
    <mergeCell ref="B4:C4"/>
    <mergeCell ref="D4:E4"/>
    <mergeCell ref="F4:G4"/>
    <mergeCell ref="H4:H5"/>
  </mergeCells>
  <pageMargins left="0.7" right="0.7" top="0.75" bottom="0.75" header="0.3" footer="0.3"/>
  <pageSetup orientation="portrait" verticalDpi="0" r:id="rId1"/>
  <ignoredErrors>
    <ignoredError sqref="B14 D14 F14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49"/>
  <dimension ref="A1:FQ14"/>
  <sheetViews>
    <sheetView showGridLines="0" topLeftCell="A2" zoomScaleNormal="100" workbookViewId="0">
      <selection activeCell="F26" sqref="F26"/>
    </sheetView>
  </sheetViews>
  <sheetFormatPr defaultColWidth="8.6640625" defaultRowHeight="14.4" x14ac:dyDescent="0.3"/>
  <cols>
    <col min="1" max="1" width="22.88671875" customWidth="1"/>
    <col min="2" max="3" width="7.6640625" customWidth="1"/>
    <col min="4" max="4" width="5.88671875" customWidth="1"/>
    <col min="5" max="6" width="7.6640625" customWidth="1"/>
    <col min="7" max="7" width="6.44140625" customWidth="1"/>
    <col min="8" max="9" width="7.6640625" customWidth="1"/>
    <col min="10" max="10" width="7" customWidth="1"/>
    <col min="11" max="16384" width="8.6640625" style="3"/>
  </cols>
  <sheetData>
    <row r="1" spans="1:173" hidden="1" x14ac:dyDescent="0.3">
      <c r="A1" s="88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1:173" x14ac:dyDescent="0.3">
      <c r="A2" s="88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</row>
    <row r="3" spans="1:173" x14ac:dyDescent="0.3">
      <c r="A3" s="46" t="s">
        <v>304</v>
      </c>
      <c r="B3" s="46"/>
      <c r="C3" s="46"/>
      <c r="D3" s="46"/>
      <c r="E3" s="46"/>
      <c r="F3" s="46"/>
      <c r="G3" s="46"/>
      <c r="H3" s="79"/>
      <c r="I3" s="785" t="s">
        <v>310</v>
      </c>
      <c r="J3" s="786" t="s">
        <v>11</v>
      </c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</row>
    <row r="4" spans="1:173" ht="24.75" customHeight="1" x14ac:dyDescent="0.3">
      <c r="A4" s="751" t="s">
        <v>10</v>
      </c>
      <c r="B4" s="782" t="s">
        <v>79</v>
      </c>
      <c r="C4" s="783"/>
      <c r="D4" s="783"/>
      <c r="E4" s="782" t="s">
        <v>27</v>
      </c>
      <c r="F4" s="783"/>
      <c r="G4" s="783" t="s">
        <v>14</v>
      </c>
      <c r="H4" s="782" t="s">
        <v>26</v>
      </c>
      <c r="I4" s="783"/>
      <c r="J4" s="784" t="s">
        <v>14</v>
      </c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</row>
    <row r="5" spans="1:173" ht="15" customHeight="1" x14ac:dyDescent="0.3">
      <c r="A5" s="781"/>
      <c r="B5" s="128" t="s">
        <v>551</v>
      </c>
      <c r="C5" s="129" t="s">
        <v>559</v>
      </c>
      <c r="D5" s="124" t="s">
        <v>9</v>
      </c>
      <c r="E5" s="128" t="s">
        <v>551</v>
      </c>
      <c r="F5" s="129" t="s">
        <v>559</v>
      </c>
      <c r="G5" s="124" t="s">
        <v>9</v>
      </c>
      <c r="H5" s="128" t="s">
        <v>551</v>
      </c>
      <c r="I5" s="129" t="s">
        <v>559</v>
      </c>
      <c r="J5" s="123" t="s">
        <v>9</v>
      </c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</row>
    <row r="6" spans="1:173" s="11" customFormat="1" ht="13.2" customHeight="1" x14ac:dyDescent="0.3">
      <c r="A6" s="53" t="s">
        <v>398</v>
      </c>
      <c r="B6" s="541">
        <v>2.996</v>
      </c>
      <c r="C6" s="536">
        <v>8.4339999999999993</v>
      </c>
      <c r="D6" s="542">
        <f>IF(B6&lt;&gt;0,C6/B6*100,"-")</f>
        <v>281.5086782376502</v>
      </c>
      <c r="E6" s="541">
        <v>491.77</v>
      </c>
      <c r="F6" s="536">
        <v>545.19399999999996</v>
      </c>
      <c r="G6" s="543">
        <f>IF(E6&lt;&gt;0,F6/E6*100,"-")</f>
        <v>110.86361510462208</v>
      </c>
      <c r="H6" s="541">
        <v>0.69799999999999995</v>
      </c>
      <c r="I6" s="536">
        <v>1.046</v>
      </c>
      <c r="J6" s="544">
        <f>IF(H6&lt;&gt;0,I6/H6*100,"-")</f>
        <v>149.85673352435532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</row>
    <row r="7" spans="1:173" s="11" customFormat="1" ht="13.2" customHeight="1" x14ac:dyDescent="0.3">
      <c r="A7" s="53" t="s">
        <v>315</v>
      </c>
      <c r="B7" s="545">
        <v>47.963000000000001</v>
      </c>
      <c r="C7" s="69">
        <v>144.654</v>
      </c>
      <c r="D7" s="544">
        <f t="shared" ref="D7:D14" si="0">IF(B7&lt;&gt;0,C7/B7*100,"-")</f>
        <v>301.5949794633363</v>
      </c>
      <c r="E7" s="545">
        <v>293.58800000000002</v>
      </c>
      <c r="F7" s="69">
        <v>329.447</v>
      </c>
      <c r="G7" s="543">
        <f t="shared" ref="G7:G14" si="1">IF(E7&lt;&gt;0,F7/E7*100,"-")</f>
        <v>112.21405507037072</v>
      </c>
      <c r="H7" s="545">
        <v>0.28299999999999997</v>
      </c>
      <c r="I7" s="69">
        <v>0.61699999999999999</v>
      </c>
      <c r="J7" s="544">
        <f t="shared" ref="J7:J14" si="2">IF(H7&lt;&gt;0,I7/H7*100,"-")</f>
        <v>218.0212014134276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</row>
    <row r="8" spans="1:173" s="16" customFormat="1" ht="13.2" customHeight="1" x14ac:dyDescent="0.3">
      <c r="A8" s="53" t="s">
        <v>316</v>
      </c>
      <c r="B8" s="545">
        <v>571.68899999999996</v>
      </c>
      <c r="C8" s="69">
        <v>605.23599999999999</v>
      </c>
      <c r="D8" s="544">
        <f t="shared" si="0"/>
        <v>105.86805063592269</v>
      </c>
      <c r="E8" s="545">
        <v>1470.2840000000001</v>
      </c>
      <c r="F8" s="69">
        <v>1597.067</v>
      </c>
      <c r="G8" s="543">
        <f t="shared" si="1"/>
        <v>108.62302793201857</v>
      </c>
      <c r="H8" s="545">
        <v>56.841999999999999</v>
      </c>
      <c r="I8" s="69">
        <v>64.608000000000004</v>
      </c>
      <c r="J8" s="544">
        <f t="shared" si="2"/>
        <v>113.66243270820873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</row>
    <row r="9" spans="1:173" s="11" customFormat="1" ht="13.2" customHeight="1" x14ac:dyDescent="0.3">
      <c r="A9" s="53" t="s">
        <v>317</v>
      </c>
      <c r="B9" s="545">
        <v>0.30399999999999999</v>
      </c>
      <c r="C9" s="69">
        <v>0.747</v>
      </c>
      <c r="D9" s="544">
        <f t="shared" si="0"/>
        <v>245.72368421052633</v>
      </c>
      <c r="E9" s="545">
        <v>12.574</v>
      </c>
      <c r="F9" s="69">
        <v>9.0389999999999997</v>
      </c>
      <c r="G9" s="543">
        <f t="shared" si="1"/>
        <v>71.886432320661683</v>
      </c>
      <c r="H9" s="545">
        <v>6.4000000000000001E-2</v>
      </c>
      <c r="I9" s="69">
        <v>6.4000000000000001E-2</v>
      </c>
      <c r="J9" s="544">
        <f t="shared" si="2"/>
        <v>100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</row>
    <row r="10" spans="1:173" s="16" customFormat="1" ht="13.2" customHeight="1" x14ac:dyDescent="0.3">
      <c r="A10" s="53" t="s">
        <v>318</v>
      </c>
      <c r="B10" s="545">
        <v>0</v>
      </c>
      <c r="C10" s="69">
        <v>0</v>
      </c>
      <c r="D10" s="544" t="str">
        <f t="shared" si="0"/>
        <v>-</v>
      </c>
      <c r="E10" s="545">
        <v>0</v>
      </c>
      <c r="F10" s="69">
        <v>0</v>
      </c>
      <c r="G10" s="543" t="str">
        <f t="shared" si="1"/>
        <v>-</v>
      </c>
      <c r="H10" s="545">
        <v>0</v>
      </c>
      <c r="I10" s="69">
        <v>0</v>
      </c>
      <c r="J10" s="544" t="str">
        <f t="shared" si="2"/>
        <v>-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</row>
    <row r="11" spans="1:173" s="11" customFormat="1" ht="13.2" customHeight="1" x14ac:dyDescent="0.3">
      <c r="A11" s="53" t="s">
        <v>319</v>
      </c>
      <c r="B11" s="545">
        <v>5.4660000000000002</v>
      </c>
      <c r="C11" s="69">
        <v>16.16</v>
      </c>
      <c r="D11" s="544">
        <f t="shared" si="0"/>
        <v>295.64581046469078</v>
      </c>
      <c r="E11" s="545">
        <v>62.61</v>
      </c>
      <c r="F11" s="69">
        <v>58.386000000000003</v>
      </c>
      <c r="G11" s="543">
        <f t="shared" si="1"/>
        <v>93.253473885960716</v>
      </c>
      <c r="H11" s="545">
        <v>0</v>
      </c>
      <c r="I11" s="69">
        <v>0</v>
      </c>
      <c r="J11" s="544" t="str">
        <f t="shared" si="2"/>
        <v>-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</row>
    <row r="12" spans="1:173" s="16" customFormat="1" ht="13.2" customHeight="1" x14ac:dyDescent="0.3">
      <c r="A12" s="53" t="s">
        <v>400</v>
      </c>
      <c r="B12" s="545">
        <v>188.68600000000001</v>
      </c>
      <c r="C12" s="69">
        <v>194.11500000000001</v>
      </c>
      <c r="D12" s="544">
        <f t="shared" si="0"/>
        <v>102.87726699384163</v>
      </c>
      <c r="E12" s="545">
        <v>2779.0529999999999</v>
      </c>
      <c r="F12" s="69">
        <v>3061.8629999999998</v>
      </c>
      <c r="G12" s="543">
        <f t="shared" si="1"/>
        <v>110.17648817780734</v>
      </c>
      <c r="H12" s="545">
        <v>50.212000000000003</v>
      </c>
      <c r="I12" s="69">
        <v>47.284999999999997</v>
      </c>
      <c r="J12" s="544">
        <f t="shared" si="2"/>
        <v>94.170716163466878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</row>
    <row r="13" spans="1:173" s="16" customFormat="1" ht="13.2" customHeight="1" x14ac:dyDescent="0.3">
      <c r="A13" s="53" t="s">
        <v>149</v>
      </c>
      <c r="B13" s="545">
        <v>6.4000000000000001E-2</v>
      </c>
      <c r="C13" s="69">
        <v>0.624</v>
      </c>
      <c r="D13" s="544">
        <f t="shared" si="0"/>
        <v>975</v>
      </c>
      <c r="E13" s="545">
        <v>21.001999999999999</v>
      </c>
      <c r="F13" s="69">
        <v>9.4890000000000008</v>
      </c>
      <c r="G13" s="543">
        <f t="shared" si="1"/>
        <v>45.181411294162466</v>
      </c>
      <c r="H13" s="545">
        <v>0.39500000000000002</v>
      </c>
      <c r="I13" s="69">
        <v>1.0880000000000001</v>
      </c>
      <c r="J13" s="544">
        <f t="shared" si="2"/>
        <v>275.44303797468353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</row>
    <row r="14" spans="1:173" s="17" customFormat="1" ht="14.1" customHeight="1" thickBot="1" x14ac:dyDescent="0.35">
      <c r="A14" s="81" t="s">
        <v>30</v>
      </c>
      <c r="B14" s="546">
        <f>SUM(B6:B13)</f>
        <v>817.16799999999989</v>
      </c>
      <c r="C14" s="296">
        <f>SUM(C6:C13)</f>
        <v>969.96999999999991</v>
      </c>
      <c r="D14" s="83">
        <f t="shared" si="0"/>
        <v>118.69897010161925</v>
      </c>
      <c r="E14" s="546">
        <f>SUM(E6:E13)</f>
        <v>5130.8810000000003</v>
      </c>
      <c r="F14" s="296">
        <f>SUM(F6:F13)</f>
        <v>5610.4849999999997</v>
      </c>
      <c r="G14" s="83">
        <f t="shared" si="1"/>
        <v>109.34740057311794</v>
      </c>
      <c r="H14" s="82">
        <f t="shared" ref="H14:I14" si="3">SUM(H6:H13)</f>
        <v>108.494</v>
      </c>
      <c r="I14" s="296">
        <f t="shared" si="3"/>
        <v>114.70799999999998</v>
      </c>
      <c r="J14" s="83">
        <f t="shared" si="2"/>
        <v>105.72750566851622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</row>
  </sheetData>
  <sortState xmlns:xlrd2="http://schemas.microsoft.com/office/spreadsheetml/2017/richdata2" ref="A30:H37">
    <sortCondition ref="H30:H37"/>
  </sortState>
  <customSheetViews>
    <customSheetView guid="{5507C501-9942-4310-9E0E-987180BD1180}">
      <selection activeCell="L19" sqref="L19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A16" sqref="A16:XFD16"/>
      <pageMargins left="0.7" right="0.7" top="0.75" bottom="0.75" header="0.3" footer="0.3"/>
      <pageSetup paperSize="9" orientation="portrait" verticalDpi="0" r:id="rId2"/>
    </customSheetView>
  </customSheetViews>
  <mergeCells count="5">
    <mergeCell ref="A4:A5"/>
    <mergeCell ref="B4:D4"/>
    <mergeCell ref="E4:G4"/>
    <mergeCell ref="H4:J4"/>
    <mergeCell ref="I3:J3"/>
  </mergeCells>
  <pageMargins left="0.7" right="0.7" top="0.75" bottom="0.75" header="0.3" footer="0.3"/>
  <pageSetup paperSize="9" scale="81" orientation="portrait" verticalDpi="0" r:id="rId3"/>
  <ignoredErrors>
    <ignoredError sqref="B14:C14 E14:F14 H14:I14" formulaRange="1"/>
    <ignoredError sqref="D14 G14" formula="1"/>
  </ignoredErrors>
  <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53"/>
  <dimension ref="A1:FQ20"/>
  <sheetViews>
    <sheetView showGridLines="0" topLeftCell="A2" zoomScaleNormal="100" workbookViewId="0">
      <selection activeCell="R22" sqref="R22"/>
    </sheetView>
  </sheetViews>
  <sheetFormatPr defaultColWidth="8.6640625" defaultRowHeight="14.4" x14ac:dyDescent="0.3"/>
  <cols>
    <col min="1" max="1" width="18.109375" customWidth="1"/>
    <col min="2" max="2" width="7.33203125" bestFit="1" customWidth="1"/>
    <col min="3" max="3" width="5.6640625" bestFit="1" customWidth="1"/>
    <col min="4" max="4" width="7.109375" bestFit="1" customWidth="1"/>
    <col min="5" max="5" width="5.6640625" bestFit="1" customWidth="1"/>
    <col min="6" max="6" width="6.88671875" bestFit="1" customWidth="1"/>
    <col min="7" max="7" width="5.6640625" bestFit="1" customWidth="1"/>
    <col min="8" max="8" width="7.33203125" bestFit="1" customWidth="1"/>
    <col min="9" max="9" width="5.6640625" bestFit="1" customWidth="1"/>
    <col min="10" max="10" width="7.109375" bestFit="1" customWidth="1"/>
    <col min="11" max="11" width="5.6640625" bestFit="1" customWidth="1"/>
    <col min="12" max="12" width="6.88671875" bestFit="1" customWidth="1"/>
    <col min="13" max="13" width="5.6640625" bestFit="1" customWidth="1"/>
    <col min="14" max="14" width="13.109375" style="31" bestFit="1" customWidth="1"/>
    <col min="15" max="16384" width="8.6640625" style="33"/>
  </cols>
  <sheetData>
    <row r="1" spans="1:173" hidden="1" x14ac:dyDescent="0.3"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1:173" x14ac:dyDescent="0.3">
      <c r="B2" s="23"/>
      <c r="C2" s="23"/>
      <c r="D2" s="23"/>
      <c r="E2" s="23"/>
      <c r="F2" s="23"/>
      <c r="G2" s="23"/>
      <c r="H2" s="23"/>
      <c r="I2" s="23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</row>
    <row r="3" spans="1:173" x14ac:dyDescent="0.3">
      <c r="A3" s="84" t="s">
        <v>303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65" t="s">
        <v>310</v>
      </c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</row>
    <row r="4" spans="1:173" ht="12" customHeight="1" x14ac:dyDescent="0.3">
      <c r="A4" s="751" t="s">
        <v>10</v>
      </c>
      <c r="B4" s="787" t="s">
        <v>551</v>
      </c>
      <c r="C4" s="788"/>
      <c r="D4" s="788"/>
      <c r="E4" s="788"/>
      <c r="F4" s="788"/>
      <c r="G4" s="789"/>
      <c r="H4" s="787" t="s">
        <v>559</v>
      </c>
      <c r="I4" s="788"/>
      <c r="J4" s="788"/>
      <c r="K4" s="788"/>
      <c r="L4" s="788"/>
      <c r="M4" s="789"/>
      <c r="N4" s="769" t="str">
        <f>IF(LEN(H4)&gt;5,"Индекс " &amp; MID(H4,1,2) &amp; "-" &amp; MID(H4,4,5) &amp; "/" &amp; B4,"Индекс " &amp; H4 &amp; "/" &amp; B4)</f>
        <v>Индекс 2024./2023.</v>
      </c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</row>
    <row r="5" spans="1:173" ht="61.2" x14ac:dyDescent="0.3">
      <c r="A5" s="771"/>
      <c r="B5" s="618" t="s">
        <v>525</v>
      </c>
      <c r="C5" s="619" t="s">
        <v>3</v>
      </c>
      <c r="D5" s="619" t="s">
        <v>528</v>
      </c>
      <c r="E5" s="619" t="s">
        <v>3</v>
      </c>
      <c r="F5" s="619" t="s">
        <v>16</v>
      </c>
      <c r="G5" s="620" t="s">
        <v>3</v>
      </c>
      <c r="H5" s="618" t="s">
        <v>525</v>
      </c>
      <c r="I5" s="619" t="s">
        <v>3</v>
      </c>
      <c r="J5" s="619" t="s">
        <v>528</v>
      </c>
      <c r="K5" s="619" t="s">
        <v>3</v>
      </c>
      <c r="L5" s="619" t="s">
        <v>16</v>
      </c>
      <c r="M5" s="620" t="s">
        <v>3</v>
      </c>
      <c r="N5" s="770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</row>
    <row r="6" spans="1:173" x14ac:dyDescent="0.3">
      <c r="A6" s="6" t="s">
        <v>28</v>
      </c>
      <c r="B6" s="342"/>
      <c r="C6" s="343"/>
      <c r="D6" s="344"/>
      <c r="E6" s="343"/>
      <c r="F6" s="345"/>
      <c r="G6" s="343"/>
      <c r="H6" s="342"/>
      <c r="I6" s="343"/>
      <c r="J6" s="344"/>
      <c r="K6" s="343"/>
      <c r="L6" s="345"/>
      <c r="M6" s="346"/>
      <c r="N6" s="351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</row>
    <row r="7" spans="1:173" ht="14.1" customHeight="1" x14ac:dyDescent="0.3">
      <c r="A7" s="53" t="s">
        <v>320</v>
      </c>
      <c r="B7" s="676">
        <v>3.694</v>
      </c>
      <c r="C7" s="677">
        <f>IF(B$20&gt;0,B7*100/B$20,0)</f>
        <v>6.0991889267524392E-2</v>
      </c>
      <c r="D7" s="55">
        <v>0</v>
      </c>
      <c r="E7" s="677">
        <f>IF(D$20&gt;0,D7*100/D$20,0)</f>
        <v>0</v>
      </c>
      <c r="F7" s="69">
        <f>B7+D7</f>
        <v>3.694</v>
      </c>
      <c r="G7" s="677">
        <f>IF(F$20&gt;0,F7*100/F$20,0)</f>
        <v>4.5274507033052712E-2</v>
      </c>
      <c r="H7" s="676">
        <v>9.48</v>
      </c>
      <c r="I7" s="677">
        <f>IF(H$20&gt;0,H7*100/H$20,0)</f>
        <v>0.14159476027693427</v>
      </c>
      <c r="J7" s="55">
        <v>0.874</v>
      </c>
      <c r="K7" s="677">
        <f>IF(J$20&gt;0,J7*100/J$20,0)</f>
        <v>3.7059777336038054E-2</v>
      </c>
      <c r="L7" s="69">
        <f>H7+J7</f>
        <v>10.354000000000001</v>
      </c>
      <c r="M7" s="678">
        <f>IF(L$20&gt;0,L7*100/L$20,0)</f>
        <v>0.11436442089067066</v>
      </c>
      <c r="N7" s="48">
        <f>IF(F7&lt;&gt;0,L7*100/F7,0)</f>
        <v>280.29236599891721</v>
      </c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</row>
    <row r="8" spans="1:173" ht="14.1" customHeight="1" x14ac:dyDescent="0.3">
      <c r="A8" s="53" t="s">
        <v>321</v>
      </c>
      <c r="B8" s="676">
        <v>676.77700000000004</v>
      </c>
      <c r="C8" s="677">
        <f>IF(B$20&gt;0,B8*100/B$20,0)</f>
        <v>11.174311814512011</v>
      </c>
      <c r="D8" s="55">
        <v>357.072</v>
      </c>
      <c r="E8" s="677">
        <f t="shared" ref="E8:E11" si="0">IF(D$20&gt;0,D8*100/D$20,0)</f>
        <v>16.982612740383928</v>
      </c>
      <c r="F8" s="69">
        <f t="shared" ref="F8:F11" si="1">B8+D8</f>
        <v>1033.8490000000002</v>
      </c>
      <c r="G8" s="677">
        <f t="shared" ref="G8:G11" si="2">IF(F$20&gt;0,F8*100/F$20,0)</f>
        <v>12.671089285764626</v>
      </c>
      <c r="H8" s="676">
        <v>815.11500000000001</v>
      </c>
      <c r="I8" s="677">
        <f>IF(H$20&gt;0,H8*100/H$20,0)</f>
        <v>12.174684918052034</v>
      </c>
      <c r="J8" s="55">
        <v>394.41899999999998</v>
      </c>
      <c r="K8" s="677">
        <f>IF(J$20&gt;0,J8*100/J$20,0)</f>
        <v>16.724348188904795</v>
      </c>
      <c r="L8" s="69">
        <f t="shared" ref="L8:L11" si="3">H8+J8</f>
        <v>1209.5340000000001</v>
      </c>
      <c r="M8" s="678">
        <f t="shared" ref="M8:M11" si="4">IF(L$20&gt;0,L8*100/L$20,0)</f>
        <v>13.359827647052002</v>
      </c>
      <c r="N8" s="48">
        <f>IF(F8&lt;&gt;0,L8*100/F8,0)</f>
        <v>116.99329399167576</v>
      </c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</row>
    <row r="9" spans="1:173" ht="14.1" customHeight="1" x14ac:dyDescent="0.3">
      <c r="A9" s="53" t="s">
        <v>322</v>
      </c>
      <c r="B9" s="676">
        <v>0</v>
      </c>
      <c r="C9" s="677">
        <f>IF(B$20&gt;0,B9*100/B$20,0)</f>
        <v>0</v>
      </c>
      <c r="D9" s="55">
        <v>0</v>
      </c>
      <c r="E9" s="677">
        <f t="shared" si="0"/>
        <v>0</v>
      </c>
      <c r="F9" s="69">
        <f t="shared" si="1"/>
        <v>0</v>
      </c>
      <c r="G9" s="677">
        <f t="shared" si="2"/>
        <v>0</v>
      </c>
      <c r="H9" s="676">
        <v>0</v>
      </c>
      <c r="I9" s="677">
        <f t="shared" ref="I9:K11" si="5">IF(H$20&gt;0,H9*100/H$20,0)</f>
        <v>0</v>
      </c>
      <c r="J9" s="55">
        <v>0.5</v>
      </c>
      <c r="K9" s="677">
        <f t="shared" si="5"/>
        <v>2.1201245615582408E-2</v>
      </c>
      <c r="L9" s="69">
        <f t="shared" si="3"/>
        <v>0.5</v>
      </c>
      <c r="M9" s="678">
        <f t="shared" si="4"/>
        <v>5.5227168674266301E-3</v>
      </c>
      <c r="N9" s="48">
        <f>IF(F9&lt;&gt;0,L9*100/F9,0)</f>
        <v>0</v>
      </c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</row>
    <row r="10" spans="1:173" ht="14.1" customHeight="1" x14ac:dyDescent="0.3">
      <c r="A10" s="53" t="s">
        <v>405</v>
      </c>
      <c r="B10" s="113">
        <v>238.898</v>
      </c>
      <c r="C10" s="677">
        <f>IF(B$20&gt;0,B10*100/B$20,0)</f>
        <v>3.9444613866359077</v>
      </c>
      <c r="D10" s="69">
        <v>40.006999999999998</v>
      </c>
      <c r="E10" s="677">
        <f t="shared" si="0"/>
        <v>1.9027629943107827</v>
      </c>
      <c r="F10" s="679">
        <f t="shared" si="1"/>
        <v>278.90499999999997</v>
      </c>
      <c r="G10" s="677">
        <f t="shared" si="2"/>
        <v>3.4183233308212144</v>
      </c>
      <c r="H10" s="113">
        <v>241.4</v>
      </c>
      <c r="I10" s="677">
        <f t="shared" si="5"/>
        <v>3.6055880939717229</v>
      </c>
      <c r="J10" s="69">
        <v>41.101999999999997</v>
      </c>
      <c r="K10" s="677">
        <f t="shared" si="5"/>
        <v>1.7428271945833362</v>
      </c>
      <c r="L10" s="679">
        <f t="shared" si="3"/>
        <v>282.50200000000001</v>
      </c>
      <c r="M10" s="678">
        <f t="shared" si="4"/>
        <v>3.1203571209635155</v>
      </c>
      <c r="N10" s="48">
        <f t="shared" ref="N10:N20" si="6">IF(F10&lt;&gt;0,L10*100/F10,0)</f>
        <v>101.28968645237627</v>
      </c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</row>
    <row r="11" spans="1:173" ht="14.1" customHeight="1" x14ac:dyDescent="0.3">
      <c r="A11" s="53" t="s">
        <v>149</v>
      </c>
      <c r="B11" s="676">
        <v>6.2930000000000001</v>
      </c>
      <c r="C11" s="677">
        <f>IF(B$20&gt;0,B11*100/B$20,0)</f>
        <v>0.10390415786695481</v>
      </c>
      <c r="D11" s="55">
        <v>0</v>
      </c>
      <c r="E11" s="677">
        <f t="shared" si="0"/>
        <v>0</v>
      </c>
      <c r="F11" s="69">
        <f t="shared" si="1"/>
        <v>6.2930000000000001</v>
      </c>
      <c r="G11" s="677">
        <f t="shared" si="2"/>
        <v>7.7128444168652083E-2</v>
      </c>
      <c r="H11" s="676">
        <v>18.683</v>
      </c>
      <c r="I11" s="677">
        <f t="shared" si="5"/>
        <v>0.27905220530105096</v>
      </c>
      <c r="J11" s="55">
        <v>3.2000000000000001E-2</v>
      </c>
      <c r="K11" s="677">
        <f t="shared" si="5"/>
        <v>1.3568797193972742E-3</v>
      </c>
      <c r="L11" s="69">
        <f t="shared" si="3"/>
        <v>18.715</v>
      </c>
      <c r="M11" s="678">
        <f t="shared" si="4"/>
        <v>0.20671529234777875</v>
      </c>
      <c r="N11" s="48">
        <f t="shared" si="6"/>
        <v>297.39392976322898</v>
      </c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</row>
    <row r="12" spans="1:173" ht="14.1" customHeight="1" x14ac:dyDescent="0.3">
      <c r="A12" s="450" t="s">
        <v>16</v>
      </c>
      <c r="B12" s="680">
        <f t="shared" ref="B12:M12" si="7">SUM(B7:B11)</f>
        <v>925.66200000000003</v>
      </c>
      <c r="C12" s="681">
        <f>SUM(C7:C11)</f>
        <v>15.283669248282399</v>
      </c>
      <c r="D12" s="547">
        <f t="shared" si="7"/>
        <v>397.07900000000001</v>
      </c>
      <c r="E12" s="681">
        <f t="shared" si="7"/>
        <v>18.885375734694712</v>
      </c>
      <c r="F12" s="547">
        <f t="shared" si="7"/>
        <v>1322.741</v>
      </c>
      <c r="G12" s="681">
        <f>SUM(G7:G11)</f>
        <v>16.211815567787543</v>
      </c>
      <c r="H12" s="680">
        <f t="shared" si="7"/>
        <v>1084.6780000000001</v>
      </c>
      <c r="I12" s="681">
        <f>SUM(I7:I11)</f>
        <v>16.200919977601743</v>
      </c>
      <c r="J12" s="547">
        <f t="shared" si="7"/>
        <v>436.92699999999996</v>
      </c>
      <c r="K12" s="681">
        <f t="shared" si="7"/>
        <v>18.526793286159151</v>
      </c>
      <c r="L12" s="547">
        <f t="shared" si="7"/>
        <v>1521.605</v>
      </c>
      <c r="M12" s="682">
        <f t="shared" si="7"/>
        <v>16.806787198121391</v>
      </c>
      <c r="N12" s="551">
        <f t="shared" si="6"/>
        <v>115.03423572717561</v>
      </c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</row>
    <row r="13" spans="1:173" ht="14.1" customHeight="1" x14ac:dyDescent="0.3">
      <c r="A13" s="6" t="s">
        <v>29</v>
      </c>
      <c r="B13" s="683"/>
      <c r="C13" s="677"/>
      <c r="D13" s="114"/>
      <c r="E13" s="677"/>
      <c r="F13" s="69"/>
      <c r="G13" s="677"/>
      <c r="H13" s="683"/>
      <c r="I13" s="677"/>
      <c r="J13" s="114"/>
      <c r="K13" s="677"/>
      <c r="L13" s="69"/>
      <c r="M13" s="678"/>
      <c r="N13" s="48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</row>
    <row r="14" spans="1:173" ht="14.1" customHeight="1" x14ac:dyDescent="0.3">
      <c r="A14" s="53" t="s">
        <v>320</v>
      </c>
      <c r="B14" s="676">
        <v>491.77</v>
      </c>
      <c r="C14" s="677">
        <f>IF(B$20&gt;0,B14*100/B$20,0)</f>
        <v>8.1196484529210817</v>
      </c>
      <c r="D14" s="55">
        <v>81.304000000000002</v>
      </c>
      <c r="E14" s="677">
        <f>IF(D$20&gt;0,D14*100/D$20,0)</f>
        <v>3.8668793583483865</v>
      </c>
      <c r="F14" s="69">
        <f t="shared" ref="F14:F18" si="8">B14+D14</f>
        <v>573.07399999999996</v>
      </c>
      <c r="G14" s="677">
        <f>IF(F$20&gt;0,F14*100/F$20,0)</f>
        <v>7.0237257291444646</v>
      </c>
      <c r="H14" s="676">
        <v>545.19399999999996</v>
      </c>
      <c r="I14" s="677">
        <f>IF(H$20&gt;0,H14*100/H$20,0)</f>
        <v>8.1431027146015715</v>
      </c>
      <c r="J14" s="55">
        <v>90.816999999999993</v>
      </c>
      <c r="K14" s="677">
        <f>IF(J$20&gt;0,J14*100/J$20,0)</f>
        <v>3.8508670461406944</v>
      </c>
      <c r="L14" s="69">
        <f t="shared" ref="L14:L18" si="9">H14+J14</f>
        <v>636.01099999999997</v>
      </c>
      <c r="M14" s="678">
        <f>IF(L$20&gt;0,L14*100/L$20,0)</f>
        <v>7.0250173551377566</v>
      </c>
      <c r="N14" s="48">
        <f t="shared" si="6"/>
        <v>110.98235131937587</v>
      </c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</row>
    <row r="15" spans="1:173" ht="14.1" customHeight="1" x14ac:dyDescent="0.3">
      <c r="A15" s="53" t="s">
        <v>321</v>
      </c>
      <c r="B15" s="676">
        <v>1763.8720000000001</v>
      </c>
      <c r="C15" s="677">
        <f t="shared" ref="C15:E18" si="10">IF(B$20&gt;0,B15*100/B$20,0)</f>
        <v>29.123412481344559</v>
      </c>
      <c r="D15" s="55">
        <v>653.99800000000005</v>
      </c>
      <c r="E15" s="677">
        <f t="shared" si="10"/>
        <v>31.104636507442784</v>
      </c>
      <c r="F15" s="69">
        <f t="shared" si="8"/>
        <v>2417.87</v>
      </c>
      <c r="G15" s="677">
        <f t="shared" ref="G15:G18" si="11">IF(F$20&gt;0,F15*100/F$20,0)</f>
        <v>29.633966518680882</v>
      </c>
      <c r="H15" s="676">
        <v>1926.5139999999999</v>
      </c>
      <c r="I15" s="677">
        <f t="shared" ref="I15:I18" si="12">IF(H$20&gt;0,H15*100/H$20,0)</f>
        <v>28.774713924067271</v>
      </c>
      <c r="J15" s="55">
        <v>735.58</v>
      </c>
      <c r="K15" s="677">
        <f t="shared" ref="K15:K18" si="13">IF(J$20&gt;0,J15*100/J$20,0)</f>
        <v>31.190424499820214</v>
      </c>
      <c r="L15" s="69">
        <f t="shared" si="9"/>
        <v>2662.0940000000001</v>
      </c>
      <c r="M15" s="678">
        <f t="shared" ref="M15:M18" si="14">IF(L$20&gt;0,L15*100/L$20,0)</f>
        <v>29.403982872950454</v>
      </c>
      <c r="N15" s="48">
        <f t="shared" si="6"/>
        <v>110.10079119224774</v>
      </c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</row>
    <row r="16" spans="1:173" ht="14.1" customHeight="1" x14ac:dyDescent="0.3">
      <c r="A16" s="53" t="s">
        <v>322</v>
      </c>
      <c r="B16" s="676">
        <v>0</v>
      </c>
      <c r="C16" s="677">
        <f t="shared" si="10"/>
        <v>0</v>
      </c>
      <c r="D16" s="55">
        <v>5.4710000000000001</v>
      </c>
      <c r="E16" s="677">
        <f t="shared" si="10"/>
        <v>0.26020487269413584</v>
      </c>
      <c r="F16" s="69">
        <f t="shared" si="8"/>
        <v>5.4710000000000001</v>
      </c>
      <c r="G16" s="677">
        <f t="shared" si="11"/>
        <v>6.7053824574399415E-2</v>
      </c>
      <c r="H16" s="676">
        <v>0</v>
      </c>
      <c r="I16" s="677">
        <f t="shared" si="12"/>
        <v>0</v>
      </c>
      <c r="J16" s="55">
        <v>10.608000000000001</v>
      </c>
      <c r="K16" s="677">
        <f t="shared" si="13"/>
        <v>0.44980562698019633</v>
      </c>
      <c r="L16" s="69">
        <f t="shared" si="9"/>
        <v>10.608000000000001</v>
      </c>
      <c r="M16" s="678">
        <f t="shared" si="14"/>
        <v>0.11716996105932337</v>
      </c>
      <c r="N16" s="48">
        <f t="shared" si="6"/>
        <v>193.89508316578321</v>
      </c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</row>
    <row r="17" spans="1:173" ht="14.1" customHeight="1" x14ac:dyDescent="0.3">
      <c r="A17" s="53" t="s">
        <v>405</v>
      </c>
      <c r="B17" s="676">
        <v>2779.0529999999999</v>
      </c>
      <c r="C17" s="677">
        <f t="shared" si="10"/>
        <v>45.885136124683669</v>
      </c>
      <c r="D17" s="55">
        <v>959.23900000000003</v>
      </c>
      <c r="E17" s="677">
        <f t="shared" si="10"/>
        <v>45.622127925105133</v>
      </c>
      <c r="F17" s="69">
        <f t="shared" si="8"/>
        <v>3738.2919999999999</v>
      </c>
      <c r="G17" s="677">
        <f t="shared" si="11"/>
        <v>45.817359893233544</v>
      </c>
      <c r="H17" s="676">
        <v>3061.8629999999998</v>
      </c>
      <c r="I17" s="677">
        <f t="shared" si="12"/>
        <v>45.732463869811681</v>
      </c>
      <c r="J17" s="55">
        <v>1080.6890000000001</v>
      </c>
      <c r="K17" s="677">
        <f t="shared" si="13"/>
        <v>45.823905846116276</v>
      </c>
      <c r="L17" s="69">
        <f t="shared" si="9"/>
        <v>4142.5519999999997</v>
      </c>
      <c r="M17" s="678">
        <f t="shared" si="14"/>
        <v>45.756283609183832</v>
      </c>
      <c r="N17" s="48">
        <f t="shared" si="6"/>
        <v>110.81402950866331</v>
      </c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</row>
    <row r="18" spans="1:173" ht="14.1" customHeight="1" x14ac:dyDescent="0.3">
      <c r="A18" s="53" t="s">
        <v>149</v>
      </c>
      <c r="B18" s="676">
        <v>96.186000000000007</v>
      </c>
      <c r="C18" s="677">
        <f t="shared" si="10"/>
        <v>1.5881336927683005</v>
      </c>
      <c r="D18" s="55">
        <v>5.4829999999999997</v>
      </c>
      <c r="E18" s="677">
        <f t="shared" si="10"/>
        <v>0.26077560171485042</v>
      </c>
      <c r="F18" s="69">
        <f t="shared" si="8"/>
        <v>101.66900000000001</v>
      </c>
      <c r="G18" s="677">
        <f t="shared" si="11"/>
        <v>1.2460784665791655</v>
      </c>
      <c r="H18" s="676">
        <v>76.914000000000001</v>
      </c>
      <c r="I18" s="677">
        <f t="shared" si="12"/>
        <v>1.1487995139177345</v>
      </c>
      <c r="J18" s="55">
        <v>3.7309999999999999</v>
      </c>
      <c r="K18" s="677">
        <f t="shared" si="13"/>
        <v>0.1582036947834759</v>
      </c>
      <c r="L18" s="69">
        <f t="shared" si="9"/>
        <v>80.644999999999996</v>
      </c>
      <c r="M18" s="678">
        <f t="shared" si="14"/>
        <v>0.89075900354724113</v>
      </c>
      <c r="N18" s="48">
        <f t="shared" si="6"/>
        <v>79.321130334713615</v>
      </c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</row>
    <row r="19" spans="1:173" ht="14.1" customHeight="1" x14ac:dyDescent="0.3">
      <c r="A19" s="450" t="s">
        <v>16</v>
      </c>
      <c r="B19" s="680">
        <f>SUM(B14:B18)</f>
        <v>5130.8809999999994</v>
      </c>
      <c r="C19" s="681">
        <f>SUM(C14:C18)</f>
        <v>84.716330751717607</v>
      </c>
      <c r="D19" s="547">
        <f>SUM(D14:D18)</f>
        <v>1705.4950000000001</v>
      </c>
      <c r="E19" s="681">
        <f>SUM(E14:E18)</f>
        <v>81.114624265305295</v>
      </c>
      <c r="F19" s="547">
        <f t="shared" ref="F19:L19" si="15">SUM(F14:F18)</f>
        <v>6836.3760000000002</v>
      </c>
      <c r="G19" s="681">
        <f>SUM(G14:G18)</f>
        <v>83.788184432212446</v>
      </c>
      <c r="H19" s="680">
        <f t="shared" si="15"/>
        <v>5610.4849999999997</v>
      </c>
      <c r="I19" s="681">
        <f t="shared" si="15"/>
        <v>83.799080022398257</v>
      </c>
      <c r="J19" s="547">
        <f t="shared" si="15"/>
        <v>1921.425</v>
      </c>
      <c r="K19" s="681">
        <f>SUM(K14:K18)</f>
        <v>81.473206713840852</v>
      </c>
      <c r="L19" s="547">
        <f t="shared" si="15"/>
        <v>7531.91</v>
      </c>
      <c r="M19" s="682">
        <f>SUM(M14:M18)</f>
        <v>83.193212801878616</v>
      </c>
      <c r="N19" s="551">
        <f t="shared" si="6"/>
        <v>110.1740161746516</v>
      </c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</row>
    <row r="20" spans="1:173" s="121" customFormat="1" ht="14.1" customHeight="1" thickBot="1" x14ac:dyDescent="0.35">
      <c r="A20" s="76" t="s">
        <v>94</v>
      </c>
      <c r="B20" s="684">
        <f>B19+B12</f>
        <v>6056.5429999999997</v>
      </c>
      <c r="C20" s="685">
        <f>C19+C12</f>
        <v>100</v>
      </c>
      <c r="D20" s="686">
        <f>D19+D12</f>
        <v>2102.5740000000001</v>
      </c>
      <c r="E20" s="685">
        <f>E19+E12</f>
        <v>100</v>
      </c>
      <c r="F20" s="686">
        <f t="shared" ref="F20:L20" si="16">F19+F12</f>
        <v>8159.1170000000002</v>
      </c>
      <c r="G20" s="685">
        <f>G19+G12</f>
        <v>99.999999999999986</v>
      </c>
      <c r="H20" s="684">
        <f t="shared" si="16"/>
        <v>6695.1629999999996</v>
      </c>
      <c r="I20" s="685">
        <f t="shared" si="16"/>
        <v>100</v>
      </c>
      <c r="J20" s="686">
        <f t="shared" si="16"/>
        <v>2358.3519999999999</v>
      </c>
      <c r="K20" s="685">
        <f t="shared" si="16"/>
        <v>100</v>
      </c>
      <c r="L20" s="686">
        <f t="shared" si="16"/>
        <v>9053.5149999999994</v>
      </c>
      <c r="M20" s="687">
        <f>M19+M12</f>
        <v>100</v>
      </c>
      <c r="N20" s="642">
        <f t="shared" si="6"/>
        <v>110.96194600469634</v>
      </c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</row>
  </sheetData>
  <customSheetViews>
    <customSheetView guid="{5507C501-9942-4310-9E0E-987180BD1180}">
      <selection sqref="A1:N1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sqref="A1:N1"/>
      <pageMargins left="0.7" right="0.7" top="0.75" bottom="0.75" header="0.3" footer="0.3"/>
      <pageSetup paperSize="9" orientation="portrait" verticalDpi="0" r:id="rId2"/>
    </customSheetView>
  </customSheetViews>
  <mergeCells count="4">
    <mergeCell ref="A4:A5"/>
    <mergeCell ref="B4:G4"/>
    <mergeCell ref="H4:M4"/>
    <mergeCell ref="N4:N5"/>
  </mergeCells>
  <pageMargins left="0.7" right="0.7" top="0.75" bottom="0.75" header="0.3" footer="0.3"/>
  <pageSetup paperSize="9" scale="77" orientation="portrait" verticalDpi="0" r:id="rId3"/>
  <ignoredErrors>
    <ignoredError sqref="F7:F18 L7:L18" formula="1"/>
  </ignoredErrors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55"/>
  <dimension ref="A1:FQ16"/>
  <sheetViews>
    <sheetView showGridLines="0" topLeftCell="A2" zoomScaleNormal="100" workbookViewId="0">
      <selection activeCell="S18" sqref="S18"/>
    </sheetView>
  </sheetViews>
  <sheetFormatPr defaultColWidth="8.6640625" defaultRowHeight="12" x14ac:dyDescent="0.25"/>
  <cols>
    <col min="1" max="1" width="18.6640625" style="33" customWidth="1"/>
    <col min="2" max="2" width="8.5546875" style="33" bestFit="1" customWidth="1"/>
    <col min="3" max="3" width="5" style="33" customWidth="1"/>
    <col min="4" max="4" width="6.5546875" style="33" customWidth="1"/>
    <col min="5" max="5" width="5" style="33" customWidth="1"/>
    <col min="6" max="6" width="8.5546875" style="33" bestFit="1" customWidth="1"/>
    <col min="7" max="7" width="5.5546875" style="33" customWidth="1"/>
    <col min="8" max="8" width="8.5546875" style="33" bestFit="1" customWidth="1"/>
    <col min="9" max="9" width="5" style="33" customWidth="1"/>
    <col min="10" max="10" width="7.44140625" style="33" bestFit="1" customWidth="1"/>
    <col min="11" max="11" width="5.5546875" style="33" customWidth="1"/>
    <col min="12" max="12" width="8.5546875" style="33" bestFit="1" customWidth="1"/>
    <col min="13" max="13" width="5.5546875" style="33" customWidth="1"/>
    <col min="14" max="14" width="8.5546875" style="639" customWidth="1"/>
    <col min="15" max="16384" width="8.6640625" style="33"/>
  </cols>
  <sheetData>
    <row r="1" spans="1:173" ht="14.4" hidden="1" x14ac:dyDescent="0.3">
      <c r="A1" s="131"/>
      <c r="B1" s="132"/>
      <c r="C1" s="132"/>
      <c r="D1" s="132"/>
      <c r="E1" s="132"/>
      <c r="F1" s="132"/>
      <c r="G1" s="132"/>
      <c r="H1" s="132"/>
      <c r="I1" s="132"/>
      <c r="J1" s="132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1:173" ht="14.4" x14ac:dyDescent="0.3">
      <c r="A2" s="131"/>
      <c r="B2" s="132"/>
      <c r="C2" s="132"/>
      <c r="D2" s="132"/>
      <c r="E2" s="132"/>
      <c r="F2" s="132"/>
      <c r="G2" s="132"/>
      <c r="H2" s="132"/>
      <c r="I2" s="132"/>
      <c r="J2" s="13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</row>
    <row r="3" spans="1:173" ht="14.4" x14ac:dyDescent="0.3">
      <c r="A3" s="84" t="s">
        <v>524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65" t="s">
        <v>310</v>
      </c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</row>
    <row r="4" spans="1:173" ht="14.4" x14ac:dyDescent="0.3">
      <c r="A4" s="790" t="s">
        <v>10</v>
      </c>
      <c r="B4" s="787" t="s">
        <v>551</v>
      </c>
      <c r="C4" s="788"/>
      <c r="D4" s="788"/>
      <c r="E4" s="788"/>
      <c r="F4" s="788"/>
      <c r="G4" s="789"/>
      <c r="H4" s="787" t="s">
        <v>559</v>
      </c>
      <c r="I4" s="788"/>
      <c r="J4" s="788"/>
      <c r="K4" s="788"/>
      <c r="L4" s="788"/>
      <c r="M4" s="789"/>
      <c r="N4" s="769" t="str">
        <f>IF(LEN(H4)&gt;5,"Индекс " &amp; MID(H4,1,2) &amp; "-" &amp; MID(H4,4,5) &amp; "/" &amp; B4,"Индекс " &amp; H4 &amp; "/" &amp; B4)</f>
        <v>Индекс 2024./2023.</v>
      </c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</row>
    <row r="5" spans="1:173" ht="81.599999999999994" x14ac:dyDescent="0.3">
      <c r="A5" s="791"/>
      <c r="B5" s="618" t="s">
        <v>525</v>
      </c>
      <c r="C5" s="619" t="s">
        <v>3</v>
      </c>
      <c r="D5" s="619" t="s">
        <v>528</v>
      </c>
      <c r="E5" s="619" t="s">
        <v>3</v>
      </c>
      <c r="F5" s="619" t="s">
        <v>16</v>
      </c>
      <c r="G5" s="620" t="s">
        <v>3</v>
      </c>
      <c r="H5" s="618" t="s">
        <v>525</v>
      </c>
      <c r="I5" s="619" t="s">
        <v>3</v>
      </c>
      <c r="J5" s="619" t="s">
        <v>528</v>
      </c>
      <c r="K5" s="619" t="s">
        <v>3</v>
      </c>
      <c r="L5" s="619" t="s">
        <v>16</v>
      </c>
      <c r="M5" s="620" t="s">
        <v>3</v>
      </c>
      <c r="N5" s="770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</row>
    <row r="6" spans="1:173" ht="24" x14ac:dyDescent="0.3">
      <c r="A6" s="135" t="s">
        <v>406</v>
      </c>
      <c r="B6" s="370"/>
      <c r="C6" s="419"/>
      <c r="D6" s="372"/>
      <c r="E6" s="419"/>
      <c r="F6" s="372"/>
      <c r="G6" s="420"/>
      <c r="H6" s="370"/>
      <c r="I6" s="419"/>
      <c r="J6" s="372"/>
      <c r="K6" s="419"/>
      <c r="L6" s="372"/>
      <c r="M6" s="420"/>
      <c r="N6" s="371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</row>
    <row r="7" spans="1:173" ht="14.1" customHeight="1" x14ac:dyDescent="0.3">
      <c r="A7" s="134" t="s">
        <v>323</v>
      </c>
      <c r="B7" s="658">
        <v>188.999</v>
      </c>
      <c r="C7" s="659">
        <f>IF(B$16&gt;0,B7*100/B$16,0)</f>
        <v>6.2624939901277381</v>
      </c>
      <c r="D7" s="660">
        <v>38.229999999999997</v>
      </c>
      <c r="E7" s="659">
        <f>IF(D$16&gt;0,D7*100/D$16,0)</f>
        <v>3.8258847170766752</v>
      </c>
      <c r="F7" s="661">
        <f>B7+D7</f>
        <v>227.22899999999998</v>
      </c>
      <c r="G7" s="662">
        <f>IF(F$16&gt;0,F7*100/F$16,0)</f>
        <v>5.6564066935228707</v>
      </c>
      <c r="H7" s="658">
        <v>189.81</v>
      </c>
      <c r="I7" s="659">
        <f>IF(H$16&gt;0,H7*100/H$16,0)</f>
        <v>5.7461364717250794</v>
      </c>
      <c r="J7" s="660">
        <v>39.112000000000002</v>
      </c>
      <c r="K7" s="659">
        <f>IF(J$16&gt;0,J7*100/J$16,0)</f>
        <v>3.4865674622099836</v>
      </c>
      <c r="L7" s="661">
        <f>H7+J7</f>
        <v>228.922</v>
      </c>
      <c r="M7" s="662">
        <f>IF(L$16&gt;0,L7*100/L$16,0)</f>
        <v>5.1733153990889154</v>
      </c>
      <c r="N7" s="663">
        <f>IF(F7&lt;&gt;0,L7*100/F7,"-")</f>
        <v>100.74506335018859</v>
      </c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</row>
    <row r="8" spans="1:173" ht="14.1" customHeight="1" x14ac:dyDescent="0.3">
      <c r="A8" s="134" t="s">
        <v>324</v>
      </c>
      <c r="B8" s="658">
        <v>13.946</v>
      </c>
      <c r="C8" s="659">
        <f t="shared" ref="C8:C9" si="0">IF(B$16&gt;0,B8*100/B$16,0)</f>
        <v>0.46210160469802192</v>
      </c>
      <c r="D8" s="660">
        <v>0</v>
      </c>
      <c r="E8" s="659">
        <f>IF(D$16&gt;0,D8*100/D$16,0)</f>
        <v>0</v>
      </c>
      <c r="F8" s="661">
        <f t="shared" ref="F8:F9" si="1">B8+D8</f>
        <v>13.946</v>
      </c>
      <c r="G8" s="662">
        <f>IF(F$16&gt;0,F8*100/F$16,0)</f>
        <v>0.34715748319039369</v>
      </c>
      <c r="H8" s="658">
        <v>14.161</v>
      </c>
      <c r="I8" s="659">
        <f t="shared" ref="I8" si="2">IF(H$16&gt;0,H8*100/H$16,0)</f>
        <v>0.42869732140613687</v>
      </c>
      <c r="J8" s="660">
        <v>0</v>
      </c>
      <c r="K8" s="659">
        <f t="shared" ref="K8" si="3">IF(J$16&gt;0,J8*100/J$16,0)</f>
        <v>0</v>
      </c>
      <c r="L8" s="661">
        <f t="shared" ref="L8:L9" si="4">H8+J8</f>
        <v>14.161</v>
      </c>
      <c r="M8" s="662">
        <f t="shared" ref="M8:M9" si="5">IF(L$16&gt;0,L8*100/L$16,0)</f>
        <v>0.32001869355718593</v>
      </c>
      <c r="N8" s="663">
        <f>IF(F8&lt;&gt;0,L8*100/F8,"-")</f>
        <v>101.54166069123762</v>
      </c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</row>
    <row r="9" spans="1:173" ht="14.1" customHeight="1" x14ac:dyDescent="0.3">
      <c r="A9" s="134" t="s">
        <v>387</v>
      </c>
      <c r="B9" s="658">
        <v>35.953000000000003</v>
      </c>
      <c r="C9" s="659">
        <f t="shared" si="0"/>
        <v>1.1913049615451012</v>
      </c>
      <c r="D9" s="660">
        <v>1.7769999999999999</v>
      </c>
      <c r="E9" s="659">
        <f>IF(D$16&gt;0,D9*100/D$16,0)</f>
        <v>0.17783408690152375</v>
      </c>
      <c r="F9" s="661">
        <f t="shared" si="1"/>
        <v>37.730000000000004</v>
      </c>
      <c r="G9" s="662">
        <f>IF(F$16&gt;0,F9*100/F$16,0)</f>
        <v>0.93921209241169912</v>
      </c>
      <c r="H9" s="658">
        <v>37.429000000000002</v>
      </c>
      <c r="I9" s="659">
        <f t="shared" ref="I9" si="6">IF(H$16&gt;0,H9*100/H$16,0)</f>
        <v>1.1330917338401454</v>
      </c>
      <c r="J9" s="660">
        <v>1.99</v>
      </c>
      <c r="K9" s="659">
        <f t="shared" ref="K9" si="7">IF(J$16&gt;0,J9*100/J$16,0)</f>
        <v>0.17739489798010499</v>
      </c>
      <c r="L9" s="661">
        <f t="shared" si="4"/>
        <v>39.419000000000004</v>
      </c>
      <c r="M9" s="662">
        <f t="shared" si="5"/>
        <v>0.89081398780670262</v>
      </c>
      <c r="N9" s="663">
        <f>IF(F9&lt;&gt;0,L9*100/F9,"-")</f>
        <v>104.47654386429897</v>
      </c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</row>
    <row r="10" spans="1:173" ht="14.1" customHeight="1" x14ac:dyDescent="0.3">
      <c r="A10" s="281" t="s">
        <v>16</v>
      </c>
      <c r="B10" s="664">
        <f t="shared" ref="B10:M10" si="8">SUM(B7:B9)</f>
        <v>238.898</v>
      </c>
      <c r="C10" s="665">
        <f t="shared" si="8"/>
        <v>7.9159005563708611</v>
      </c>
      <c r="D10" s="666">
        <f t="shared" si="8"/>
        <v>40.006999999999998</v>
      </c>
      <c r="E10" s="665">
        <f t="shared" si="8"/>
        <v>4.0037188039781988</v>
      </c>
      <c r="F10" s="666">
        <f t="shared" si="8"/>
        <v>278.90499999999997</v>
      </c>
      <c r="G10" s="667">
        <f>SUM(G7:G9)</f>
        <v>6.9427762691249635</v>
      </c>
      <c r="H10" s="664">
        <f t="shared" si="8"/>
        <v>241.4</v>
      </c>
      <c r="I10" s="665">
        <f t="shared" si="8"/>
        <v>7.3079255269713617</v>
      </c>
      <c r="J10" s="666">
        <f t="shared" si="8"/>
        <v>41.102000000000004</v>
      </c>
      <c r="K10" s="665">
        <f t="shared" si="8"/>
        <v>3.6639623601900886</v>
      </c>
      <c r="L10" s="666">
        <f t="shared" si="8"/>
        <v>282.50200000000001</v>
      </c>
      <c r="M10" s="667">
        <f t="shared" si="8"/>
        <v>6.3841480804528041</v>
      </c>
      <c r="N10" s="668">
        <f>IF(F10&lt;&gt;0,L10*100/F10,"-")</f>
        <v>101.28968645237627</v>
      </c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</row>
    <row r="11" spans="1:173" ht="24" x14ac:dyDescent="0.3">
      <c r="A11" s="135" t="s">
        <v>407</v>
      </c>
      <c r="B11" s="669"/>
      <c r="C11" s="659"/>
      <c r="D11" s="670"/>
      <c r="E11" s="659"/>
      <c r="F11" s="661"/>
      <c r="G11" s="662"/>
      <c r="H11" s="669"/>
      <c r="I11" s="659"/>
      <c r="J11" s="670"/>
      <c r="K11" s="659"/>
      <c r="L11" s="661"/>
      <c r="M11" s="662"/>
      <c r="N11" s="663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</row>
    <row r="12" spans="1:173" ht="14.1" customHeight="1" x14ac:dyDescent="0.3">
      <c r="A12" s="134" t="s">
        <v>323</v>
      </c>
      <c r="B12" s="658">
        <v>1766.673</v>
      </c>
      <c r="C12" s="659">
        <f>IF(B$16&gt;0,B12*100/B$16,0)</f>
        <v>58.538823194942523</v>
      </c>
      <c r="D12" s="660">
        <v>745.80499999999995</v>
      </c>
      <c r="E12" s="659">
        <f>IF(D$16&gt;0,D12*100/D$16,0)</f>
        <v>74.636776129201422</v>
      </c>
      <c r="F12" s="661">
        <f t="shared" ref="F12:F14" si="9">B12+D12</f>
        <v>2512.4780000000001</v>
      </c>
      <c r="G12" s="662">
        <f>IF(F$16&gt;0,F12*100/F$16,0)</f>
        <v>62.54306174180654</v>
      </c>
      <c r="H12" s="658">
        <v>1969.136</v>
      </c>
      <c r="I12" s="659">
        <f>IF(H$16&gt;0,H12*100/H$16,0)</f>
        <v>59.611844409603478</v>
      </c>
      <c r="J12" s="660">
        <v>809.01499999999999</v>
      </c>
      <c r="K12" s="659">
        <f>IF(J$16&gt;0,J12*100/J$16,0)</f>
        <v>72.118157482097814</v>
      </c>
      <c r="L12" s="661">
        <f t="shared" ref="L12:L14" si="10">H12+J12</f>
        <v>2778.1509999999998</v>
      </c>
      <c r="M12" s="662">
        <f>IF(L$16&gt;0,L12*100/L$16,0)</f>
        <v>62.782307289357369</v>
      </c>
      <c r="N12" s="663">
        <f>IF(F12&lt;&gt;0,L12*100/F12,"-")</f>
        <v>110.57414234074884</v>
      </c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</row>
    <row r="13" spans="1:173" ht="14.1" customHeight="1" x14ac:dyDescent="0.3">
      <c r="A13" s="134" t="s">
        <v>324</v>
      </c>
      <c r="B13" s="658">
        <v>866.80899999999997</v>
      </c>
      <c r="C13" s="659">
        <f t="shared" ref="C13:E14" si="11">IF(B$16&gt;0,B13*100/B$16,0)</f>
        <v>28.721771824658518</v>
      </c>
      <c r="D13" s="660">
        <v>201.364</v>
      </c>
      <c r="E13" s="659">
        <f t="shared" si="11"/>
        <v>20.151594302103788</v>
      </c>
      <c r="F13" s="661">
        <f t="shared" si="9"/>
        <v>1068.173</v>
      </c>
      <c r="G13" s="662">
        <f>IF(F$16&gt;0,F13*100/F$16,0)</f>
        <v>26.590007908499384</v>
      </c>
      <c r="H13" s="658">
        <v>968.34100000000001</v>
      </c>
      <c r="I13" s="659">
        <f t="shared" ref="I13" si="12">IF(H$16&gt;0,H13*100/H$16,0)</f>
        <v>29.314680665753833</v>
      </c>
      <c r="J13" s="660">
        <v>254.51</v>
      </c>
      <c r="K13" s="659">
        <f t="shared" ref="K13" si="13">IF(J$16&gt;0,J13*100/J$16,0)</f>
        <v>22.687826876842475</v>
      </c>
      <c r="L13" s="661">
        <f t="shared" si="10"/>
        <v>1222.8510000000001</v>
      </c>
      <c r="M13" s="662">
        <f t="shared" ref="M13:M14" si="14">IF(L$16&gt;0,L13*100/L$16,0)</f>
        <v>27.634713610274588</v>
      </c>
      <c r="N13" s="663">
        <f>IF(F13&lt;&gt;0,L13*100/F13,"-")</f>
        <v>114.48061315910438</v>
      </c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</row>
    <row r="14" spans="1:173" ht="14.1" customHeight="1" x14ac:dyDescent="0.3">
      <c r="A14" s="134" t="s">
        <v>387</v>
      </c>
      <c r="B14" s="658">
        <v>145.571</v>
      </c>
      <c r="C14" s="659">
        <f t="shared" si="11"/>
        <v>4.8235044240280907</v>
      </c>
      <c r="D14" s="660">
        <v>12.07</v>
      </c>
      <c r="E14" s="659">
        <f t="shared" si="11"/>
        <v>1.2079107647165963</v>
      </c>
      <c r="F14" s="661">
        <f t="shared" si="9"/>
        <v>157.64099999999999</v>
      </c>
      <c r="G14" s="662">
        <f>IF(F$16&gt;0,F14*100/F$16,0)</f>
        <v>3.9241540805691129</v>
      </c>
      <c r="H14" s="658">
        <v>124.386</v>
      </c>
      <c r="I14" s="659">
        <f t="shared" ref="I14" si="15">IF(H$16&gt;0,H14*100/H$16,0)</f>
        <v>3.7655493976713332</v>
      </c>
      <c r="J14" s="660">
        <v>17.164000000000001</v>
      </c>
      <c r="K14" s="659">
        <f t="shared" ref="K14" si="16">IF(J$16&gt;0,J14*100/J$16,0)</f>
        <v>1.5300532808696092</v>
      </c>
      <c r="L14" s="661">
        <f t="shared" si="10"/>
        <v>141.55000000000001</v>
      </c>
      <c r="M14" s="662">
        <f t="shared" si="14"/>
        <v>3.1988310199152377</v>
      </c>
      <c r="N14" s="663">
        <f>IF(F14&lt;&gt;0,L14*100/F14,"-")</f>
        <v>89.792630089887794</v>
      </c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</row>
    <row r="15" spans="1:173" ht="14.1" customHeight="1" x14ac:dyDescent="0.3">
      <c r="A15" s="281" t="s">
        <v>16</v>
      </c>
      <c r="B15" s="664">
        <f>SUM(B12:B14)</f>
        <v>2779.0529999999999</v>
      </c>
      <c r="C15" s="665">
        <f t="shared" ref="C15:M15" si="17">SUM(C12:C14)</f>
        <v>92.084099443629128</v>
      </c>
      <c r="D15" s="666">
        <f>SUM(D12:D14)</f>
        <v>959.23900000000003</v>
      </c>
      <c r="E15" s="665">
        <f t="shared" si="17"/>
        <v>95.996281196021812</v>
      </c>
      <c r="F15" s="666">
        <f t="shared" si="17"/>
        <v>3738.2919999999999</v>
      </c>
      <c r="G15" s="667">
        <f>SUM(G12:G14)</f>
        <v>93.057223730875037</v>
      </c>
      <c r="H15" s="664">
        <f>SUM(H12:H14)</f>
        <v>3061.8629999999998</v>
      </c>
      <c r="I15" s="665">
        <f>SUM(I12:I14)</f>
        <v>92.692074473028654</v>
      </c>
      <c r="J15" s="666">
        <f>SUM(J12:J14)</f>
        <v>1080.6890000000001</v>
      </c>
      <c r="K15" s="665">
        <f t="shared" si="17"/>
        <v>96.336037639809902</v>
      </c>
      <c r="L15" s="666">
        <f t="shared" si="17"/>
        <v>4142.5519999999997</v>
      </c>
      <c r="M15" s="667">
        <f t="shared" si="17"/>
        <v>93.615851919547183</v>
      </c>
      <c r="N15" s="668">
        <f>IF(F15&lt;&gt;0,L15*100/F15,"-")</f>
        <v>110.81402950866331</v>
      </c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</row>
    <row r="16" spans="1:173" s="121" customFormat="1" ht="14.1" customHeight="1" thickBot="1" x14ac:dyDescent="0.35">
      <c r="A16" s="76" t="s">
        <v>94</v>
      </c>
      <c r="B16" s="671">
        <f>B15+B10</f>
        <v>3017.951</v>
      </c>
      <c r="C16" s="672">
        <f t="shared" ref="C16:M16" si="18">C15+C10</f>
        <v>99.999999999999986</v>
      </c>
      <c r="D16" s="673">
        <f>D15+D10</f>
        <v>999.24599999999998</v>
      </c>
      <c r="E16" s="672">
        <f t="shared" si="18"/>
        <v>100.00000000000001</v>
      </c>
      <c r="F16" s="673">
        <f t="shared" si="18"/>
        <v>4017.1970000000001</v>
      </c>
      <c r="G16" s="674">
        <f>G15+G10</f>
        <v>100</v>
      </c>
      <c r="H16" s="671">
        <f t="shared" si="18"/>
        <v>3303.2629999999999</v>
      </c>
      <c r="I16" s="672">
        <f t="shared" si="18"/>
        <v>100.00000000000001</v>
      </c>
      <c r="J16" s="673">
        <f t="shared" si="18"/>
        <v>1121.7910000000002</v>
      </c>
      <c r="K16" s="672">
        <f t="shared" si="18"/>
        <v>99.999999999999986</v>
      </c>
      <c r="L16" s="673">
        <f t="shared" si="18"/>
        <v>4425.0540000000001</v>
      </c>
      <c r="M16" s="674">
        <f t="shared" si="18"/>
        <v>99.999999999999986</v>
      </c>
      <c r="N16" s="675">
        <f>IF(F16&lt;&gt;0,L16*100/F16,"-")</f>
        <v>110.15277567916137</v>
      </c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</row>
  </sheetData>
  <customSheetViews>
    <customSheetView guid="{5507C501-9942-4310-9E0E-987180BD1180}">
      <selection sqref="A1:N1"/>
      <pageMargins left="0.7" right="0.7" top="0.75" bottom="0.75" header="0.3" footer="0.3"/>
      <pageSetup paperSize="9" orientation="portrait" verticalDpi="0" r:id="rId1"/>
    </customSheetView>
    <customSheetView guid="{54A0E5BB-5A66-4415-88CA-030F3BDE4337}" showPageBreaks="1">
      <selection sqref="A1:N1"/>
      <pageMargins left="0.7" right="0.7" top="0.75" bottom="0.75" header="0.3" footer="0.3"/>
      <pageSetup paperSize="9" scale="81" orientation="portrait" verticalDpi="0" r:id="rId2"/>
    </customSheetView>
  </customSheetViews>
  <mergeCells count="4">
    <mergeCell ref="A4:A5"/>
    <mergeCell ref="B4:G4"/>
    <mergeCell ref="H4:M4"/>
    <mergeCell ref="N4:N5"/>
  </mergeCells>
  <pageMargins left="0.7" right="0.7" top="0.75" bottom="0.75" header="0.3" footer="0.3"/>
  <pageSetup paperSize="9" scale="78" orientation="portrait" verticalDpi="0" r:id="rId3"/>
  <ignoredErrors>
    <ignoredError sqref="F7:F14 L7:L14" formula="1"/>
  </ignoredErrors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57"/>
  <dimension ref="A1:FQ16"/>
  <sheetViews>
    <sheetView showGridLines="0" topLeftCell="A2" zoomScaleNormal="100" workbookViewId="0">
      <selection activeCell="I21" sqref="I21"/>
    </sheetView>
  </sheetViews>
  <sheetFormatPr defaultColWidth="8.6640625" defaultRowHeight="12" x14ac:dyDescent="0.25"/>
  <cols>
    <col min="1" max="1" width="27.5546875" style="3" customWidth="1"/>
    <col min="2" max="2" width="7.88671875" style="3" bestFit="1" customWidth="1"/>
    <col min="3" max="3" width="4.88671875" style="3" customWidth="1"/>
    <col min="4" max="4" width="7.44140625" style="3" customWidth="1"/>
    <col min="5" max="5" width="4.6640625" style="3" customWidth="1"/>
    <col min="6" max="6" width="9" style="3" bestFit="1" customWidth="1"/>
    <col min="7" max="7" width="5.33203125" style="3" customWidth="1"/>
    <col min="8" max="8" width="7.88671875" style="3" bestFit="1" customWidth="1"/>
    <col min="9" max="9" width="4.6640625" style="3" customWidth="1"/>
    <col min="10" max="10" width="7.109375" style="3" customWidth="1"/>
    <col min="11" max="11" width="5" style="3" customWidth="1"/>
    <col min="12" max="12" width="7.88671875" style="3" bestFit="1" customWidth="1"/>
    <col min="13" max="13" width="5.5546875" style="3" customWidth="1"/>
    <col min="14" max="14" width="8.33203125" style="183" customWidth="1"/>
    <col min="15" max="16384" width="8.6640625" style="3"/>
  </cols>
  <sheetData>
    <row r="1" spans="1:173" ht="14.4" hidden="1" x14ac:dyDescent="0.3">
      <c r="A1" s="138"/>
      <c r="B1" s="120"/>
      <c r="C1" s="120"/>
      <c r="D1" s="120"/>
      <c r="E1" s="120"/>
      <c r="F1" s="120"/>
      <c r="G1" s="120"/>
      <c r="H1" s="120"/>
      <c r="I1" s="120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1:173" ht="14.4" x14ac:dyDescent="0.3">
      <c r="A2" s="138"/>
      <c r="B2" s="120"/>
      <c r="C2" s="120"/>
      <c r="D2" s="120"/>
      <c r="E2" s="120"/>
      <c r="F2" s="120"/>
      <c r="G2" s="120"/>
      <c r="H2" s="120"/>
      <c r="I2" s="120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</row>
    <row r="3" spans="1:173" ht="14.4" x14ac:dyDescent="0.3">
      <c r="A3" s="84" t="s">
        <v>409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65" t="s">
        <v>310</v>
      </c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</row>
    <row r="4" spans="1:173" ht="14.4" x14ac:dyDescent="0.3">
      <c r="A4" s="751" t="s">
        <v>10</v>
      </c>
      <c r="B4" s="787" t="s">
        <v>551</v>
      </c>
      <c r="C4" s="788"/>
      <c r="D4" s="788"/>
      <c r="E4" s="788"/>
      <c r="F4" s="788"/>
      <c r="G4" s="789"/>
      <c r="H4" s="787" t="s">
        <v>559</v>
      </c>
      <c r="I4" s="788"/>
      <c r="J4" s="788"/>
      <c r="K4" s="788"/>
      <c r="L4" s="788"/>
      <c r="M4" s="789"/>
      <c r="N4" s="769" t="str">
        <f>IF(LEN(H4)&gt;5,"Индекс " &amp; MID(H4,1,2) &amp; "-" &amp; MID(H4,4,5) &amp; "/" &amp; B4,"Индекс " &amp; H4 &amp; "/" &amp; B4)</f>
        <v>Индекс 2024./2023.</v>
      </c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</row>
    <row r="5" spans="1:173" ht="61.2" x14ac:dyDescent="0.3">
      <c r="A5" s="792"/>
      <c r="B5" s="618" t="s">
        <v>525</v>
      </c>
      <c r="C5" s="137" t="s">
        <v>3</v>
      </c>
      <c r="D5" s="619" t="s">
        <v>528</v>
      </c>
      <c r="E5" s="137" t="s">
        <v>3</v>
      </c>
      <c r="F5" s="137" t="s">
        <v>16</v>
      </c>
      <c r="G5" s="139" t="s">
        <v>3</v>
      </c>
      <c r="H5" s="618" t="s">
        <v>525</v>
      </c>
      <c r="I5" s="137" t="s">
        <v>3</v>
      </c>
      <c r="J5" s="619" t="s">
        <v>528</v>
      </c>
      <c r="K5" s="137" t="s">
        <v>3</v>
      </c>
      <c r="L5" s="137" t="s">
        <v>16</v>
      </c>
      <c r="M5" s="284" t="s">
        <v>3</v>
      </c>
      <c r="N5" s="770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</row>
    <row r="6" spans="1:173" ht="14.1" customHeight="1" x14ac:dyDescent="0.3">
      <c r="A6" s="6" t="s">
        <v>384</v>
      </c>
      <c r="B6" s="278"/>
      <c r="C6" s="5"/>
      <c r="D6" s="7"/>
      <c r="E6" s="5"/>
      <c r="F6" s="7"/>
      <c r="G6" s="140"/>
      <c r="H6" s="278"/>
      <c r="I6" s="5"/>
      <c r="J6" s="7"/>
      <c r="K6" s="5"/>
      <c r="L6" s="7"/>
      <c r="M6" s="140"/>
      <c r="N6" s="48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</row>
    <row r="7" spans="1:173" ht="14.1" customHeight="1" x14ac:dyDescent="0.3">
      <c r="A7" s="53" t="s">
        <v>325</v>
      </c>
      <c r="B7" s="280">
        <v>12.802</v>
      </c>
      <c r="C7" s="7">
        <f>IF(B$15&gt;0,B7*100/B$15,0)</f>
        <v>0.65460874829726057</v>
      </c>
      <c r="D7" s="279">
        <v>22.143999999999998</v>
      </c>
      <c r="E7" s="7">
        <f>IF(D$15&gt;0,D7*100/D$15,0)</f>
        <v>2.8243637082528199</v>
      </c>
      <c r="F7" s="7">
        <f>B7+D7</f>
        <v>34.945999999999998</v>
      </c>
      <c r="G7" s="133">
        <f>IF(F$15&gt;0,F7*100/F$15,0)</f>
        <v>1.275537858610428</v>
      </c>
      <c r="H7" s="280">
        <v>10.038</v>
      </c>
      <c r="I7" s="7">
        <f>IF(H$15&gt;0,H7*100/H$15,0)</f>
        <v>0.46494910016276464</v>
      </c>
      <c r="J7" s="279">
        <v>25.49</v>
      </c>
      <c r="K7" s="7">
        <f>IF(J$15&gt;0,J7*100/J$15,0)</f>
        <v>3.0054532056005896</v>
      </c>
      <c r="L7" s="7">
        <f>H7+J7</f>
        <v>35.527999999999999</v>
      </c>
      <c r="M7" s="133">
        <f>IF(L$15&gt;0,L7*100/L$15,0)</f>
        <v>1.1814819137958499</v>
      </c>
      <c r="N7" s="48">
        <f>IF(F7&lt;&gt;0,L7*100/F7,"-")</f>
        <v>101.66542665827276</v>
      </c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</row>
    <row r="8" spans="1:173" ht="14.1" customHeight="1" x14ac:dyDescent="0.3">
      <c r="A8" s="53" t="s">
        <v>326</v>
      </c>
      <c r="B8" s="280">
        <v>1.6910000000000001</v>
      </c>
      <c r="C8" s="7">
        <f t="shared" ref="C8:E12" si="0">IF(B$15&gt;0,B8*100/B$15,0)</f>
        <v>8.6466442225485676E-2</v>
      </c>
      <c r="D8" s="279">
        <v>0.35499999999999998</v>
      </c>
      <c r="E8" s="7">
        <f t="shared" si="0"/>
        <v>4.5278590879233707E-2</v>
      </c>
      <c r="F8" s="7">
        <f t="shared" ref="F8:F11" si="1">B8+D8</f>
        <v>2.0460000000000003</v>
      </c>
      <c r="G8" s="133">
        <f t="shared" ref="G8:G14" si="2">IF(F$15&gt;0,F8*100/F$15,0)</f>
        <v>7.4679518649257037E-2</v>
      </c>
      <c r="H8" s="280">
        <v>2.004</v>
      </c>
      <c r="I8" s="7">
        <f>IF(H$15&gt;0,H8*100/H$15,0)</f>
        <v>9.2823071999021747E-2</v>
      </c>
      <c r="J8" s="279">
        <v>0.32600000000000001</v>
      </c>
      <c r="K8" s="7">
        <f>IF(J$15&gt;0,J8*100/J$15,0)</f>
        <v>3.8437730287398678E-2</v>
      </c>
      <c r="L8" s="7">
        <f t="shared" ref="L8:L11" si="3">H8+J8</f>
        <v>2.33</v>
      </c>
      <c r="M8" s="133">
        <f t="shared" ref="M8:M14" si="4">IF(L$15&gt;0,L8*100/L$15,0)</f>
        <v>7.7484036791948041E-2</v>
      </c>
      <c r="N8" s="48">
        <f t="shared" ref="N8:N15" si="5">IF(F8&lt;&gt;0,L8*100/F8,"-")</f>
        <v>113.88074291300096</v>
      </c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</row>
    <row r="9" spans="1:173" ht="14.1" customHeight="1" x14ac:dyDescent="0.3">
      <c r="A9" s="53" t="s">
        <v>327</v>
      </c>
      <c r="B9" s="280">
        <v>35.871000000000002</v>
      </c>
      <c r="C9" s="7">
        <f t="shared" si="0"/>
        <v>1.8342032815318727</v>
      </c>
      <c r="D9" s="279">
        <v>17.289000000000001</v>
      </c>
      <c r="E9" s="7">
        <f t="shared" si="0"/>
        <v>2.2051311484818918</v>
      </c>
      <c r="F9" s="7">
        <f t="shared" si="1"/>
        <v>53.160000000000004</v>
      </c>
      <c r="G9" s="133">
        <f t="shared" si="2"/>
        <v>1.9403534757548893</v>
      </c>
      <c r="H9" s="280">
        <v>39.017000000000003</v>
      </c>
      <c r="I9" s="7">
        <f t="shared" ref="I9:K9" si="6">IF(H$15&gt;0,H9*100/H$15,0)</f>
        <v>1.8072244511905349</v>
      </c>
      <c r="J9" s="279">
        <v>18.102</v>
      </c>
      <c r="K9" s="7">
        <f t="shared" si="6"/>
        <v>2.1343551952837143</v>
      </c>
      <c r="L9" s="7">
        <f t="shared" si="3"/>
        <v>57.119</v>
      </c>
      <c r="M9" s="133">
        <f t="shared" si="4"/>
        <v>1.8994895697507641</v>
      </c>
      <c r="N9" s="48">
        <f t="shared" si="5"/>
        <v>107.44732881866064</v>
      </c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</row>
    <row r="10" spans="1:173" ht="14.1" customHeight="1" x14ac:dyDescent="0.3">
      <c r="A10" s="53" t="s">
        <v>328</v>
      </c>
      <c r="B10" s="278">
        <v>67.269000000000005</v>
      </c>
      <c r="C10" s="7">
        <f t="shared" si="0"/>
        <v>3.4396872277150776</v>
      </c>
      <c r="D10" s="7">
        <v>24.106000000000002</v>
      </c>
      <c r="E10" s="7">
        <f t="shared" si="0"/>
        <v>3.0746076386895997</v>
      </c>
      <c r="F10" s="136">
        <f t="shared" si="1"/>
        <v>91.375</v>
      </c>
      <c r="G10" s="133">
        <f t="shared" si="2"/>
        <v>3.3352106630380551</v>
      </c>
      <c r="H10" s="278">
        <v>64.438999999999993</v>
      </c>
      <c r="I10" s="7">
        <f t="shared" ref="I10:K10" si="7">IF(H$15&gt;0,H10*100/H$15,0)</f>
        <v>2.9847434813098612</v>
      </c>
      <c r="J10" s="7">
        <v>23.869</v>
      </c>
      <c r="K10" s="7">
        <f t="shared" si="7"/>
        <v>2.8143257184966841</v>
      </c>
      <c r="L10" s="136">
        <f t="shared" si="3"/>
        <v>88.307999999999993</v>
      </c>
      <c r="M10" s="133">
        <f t="shared" si="4"/>
        <v>2.9366782493662438</v>
      </c>
      <c r="N10" s="48">
        <f t="shared" si="5"/>
        <v>96.643502051983575</v>
      </c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</row>
    <row r="11" spans="1:173" ht="14.1" customHeight="1" x14ac:dyDescent="0.3">
      <c r="A11" s="53" t="s">
        <v>329</v>
      </c>
      <c r="B11" s="280">
        <v>0</v>
      </c>
      <c r="C11" s="7">
        <f t="shared" si="0"/>
        <v>0</v>
      </c>
      <c r="D11" s="279">
        <v>0</v>
      </c>
      <c r="E11" s="7">
        <f t="shared" si="0"/>
        <v>0</v>
      </c>
      <c r="F11" s="7">
        <f t="shared" si="1"/>
        <v>0</v>
      </c>
      <c r="G11" s="133">
        <f t="shared" si="2"/>
        <v>0</v>
      </c>
      <c r="H11" s="280">
        <v>0</v>
      </c>
      <c r="I11" s="7">
        <f t="shared" ref="I11:K11" si="8">IF(H$15&gt;0,H11*100/H$15,0)</f>
        <v>0</v>
      </c>
      <c r="J11" s="279">
        <v>0</v>
      </c>
      <c r="K11" s="7">
        <f t="shared" si="8"/>
        <v>0</v>
      </c>
      <c r="L11" s="7">
        <f t="shared" si="3"/>
        <v>0</v>
      </c>
      <c r="M11" s="133">
        <f t="shared" si="4"/>
        <v>0</v>
      </c>
      <c r="N11" s="48" t="str">
        <f t="shared" si="5"/>
        <v>-</v>
      </c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</row>
    <row r="12" spans="1:173" ht="14.1" customHeight="1" x14ac:dyDescent="0.3">
      <c r="A12" s="53" t="s">
        <v>389</v>
      </c>
      <c r="B12" s="280">
        <v>1811.2439999999999</v>
      </c>
      <c r="C12" s="7">
        <f t="shared" si="0"/>
        <v>92.614917020850129</v>
      </c>
      <c r="D12" s="279">
        <v>699.35799999999995</v>
      </c>
      <c r="E12" s="7">
        <f t="shared" si="0"/>
        <v>89.199844394701756</v>
      </c>
      <c r="F12" s="7">
        <f t="shared" ref="F12:F14" si="9">B12+D12</f>
        <v>2510.6019999999999</v>
      </c>
      <c r="G12" s="133">
        <f t="shared" si="2"/>
        <v>91.637609423197446</v>
      </c>
      <c r="H12" s="280">
        <v>2019.623</v>
      </c>
      <c r="I12" s="7">
        <f t="shared" ref="I12:K12" si="10">IF(H$15&gt;0,H12*100/H$15,0)</f>
        <v>93.546712145648854</v>
      </c>
      <c r="J12" s="279">
        <v>753.976</v>
      </c>
      <c r="K12" s="7">
        <f t="shared" si="10"/>
        <v>88.89915991156964</v>
      </c>
      <c r="L12" s="7">
        <f t="shared" ref="L12:L14" si="11">H12+J12</f>
        <v>2773.5990000000002</v>
      </c>
      <c r="M12" s="133">
        <f t="shared" si="4"/>
        <v>92.235899983738335</v>
      </c>
      <c r="N12" s="48">
        <f t="shared" si="5"/>
        <v>110.47545568752038</v>
      </c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</row>
    <row r="13" spans="1:173" ht="14.1" customHeight="1" x14ac:dyDescent="0.3">
      <c r="A13" s="53" t="s">
        <v>330</v>
      </c>
      <c r="B13" s="280">
        <v>5.2350000000000003</v>
      </c>
      <c r="C13" s="7">
        <f>IF(B$15&gt;0,B13*100/B$15,0)</f>
        <v>0.2676829243349601</v>
      </c>
      <c r="D13" s="279">
        <v>2.9000000000000001E-2</v>
      </c>
      <c r="E13" s="7">
        <f>IF(D$15&gt;0,D13*100/D$15,0)</f>
        <v>3.698814466190923E-3</v>
      </c>
      <c r="F13" s="7">
        <f t="shared" si="9"/>
        <v>5.2640000000000002</v>
      </c>
      <c r="G13" s="133">
        <f t="shared" si="2"/>
        <v>0.19213733439378736</v>
      </c>
      <c r="H13" s="280">
        <v>4.6040000000000001</v>
      </c>
      <c r="I13" s="7">
        <f>IF(H$15&gt;0,H13*100/H$15,0)</f>
        <v>0.21325220732709391</v>
      </c>
      <c r="J13" s="279">
        <v>4.2999999999999997E-2</v>
      </c>
      <c r="K13" s="7">
        <f>IF(J$15&gt;0,J13*100/J$15,0)</f>
        <v>5.070007369196757E-3</v>
      </c>
      <c r="L13" s="7">
        <f t="shared" si="11"/>
        <v>4.6470000000000002</v>
      </c>
      <c r="M13" s="133">
        <f t="shared" si="4"/>
        <v>0.15453575921552901</v>
      </c>
      <c r="N13" s="48">
        <f>IF(F13&lt;&gt;0,L13*100/F13,"-")</f>
        <v>88.278875379939208</v>
      </c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</row>
    <row r="14" spans="1:173" ht="14.4" x14ac:dyDescent="0.3">
      <c r="A14" s="53" t="s">
        <v>388</v>
      </c>
      <c r="B14" s="280">
        <v>21.56</v>
      </c>
      <c r="C14" s="7">
        <f>IF(B$15&gt;0,B14*100/B$15,0)</f>
        <v>1.1024343550452225</v>
      </c>
      <c r="D14" s="279">
        <v>20.754000000000001</v>
      </c>
      <c r="E14" s="7">
        <f>IF(D$15&gt;0,D14*100/D$15,0)</f>
        <v>2.6470757045284969</v>
      </c>
      <c r="F14" s="7">
        <f t="shared" si="9"/>
        <v>42.314</v>
      </c>
      <c r="G14" s="133">
        <f t="shared" si="2"/>
        <v>1.5444717263561394</v>
      </c>
      <c r="H14" s="280">
        <v>19.221</v>
      </c>
      <c r="I14" s="7">
        <f>IF(H$15&gt;0,H14*100/H$15,0)</f>
        <v>0.89029554236187469</v>
      </c>
      <c r="J14" s="279">
        <v>26.318999999999999</v>
      </c>
      <c r="K14" s="7">
        <f>IF(J$15&gt;0,J14*100/J$15,0)</f>
        <v>3.1031982313927782</v>
      </c>
      <c r="L14" s="7">
        <f t="shared" si="11"/>
        <v>45.54</v>
      </c>
      <c r="M14" s="133">
        <f t="shared" si="4"/>
        <v>1.5144304873413366</v>
      </c>
      <c r="N14" s="48">
        <f t="shared" si="5"/>
        <v>107.62395424682138</v>
      </c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</row>
    <row r="15" spans="1:173" s="130" customFormat="1" ht="14.1" customHeight="1" thickBot="1" x14ac:dyDescent="0.35">
      <c r="A15" s="115" t="s">
        <v>95</v>
      </c>
      <c r="B15" s="282">
        <f>SUM(B7:B14)</f>
        <v>1955.6719999999998</v>
      </c>
      <c r="C15" s="283">
        <f>SUM(C7:C14)</f>
        <v>100.00000000000001</v>
      </c>
      <c r="D15" s="283">
        <f>SUM(D7:D14)</f>
        <v>784.03499999999997</v>
      </c>
      <c r="E15" s="283">
        <f t="shared" ref="E15:M15" si="12">SUM(E7:E14)</f>
        <v>100</v>
      </c>
      <c r="F15" s="283">
        <f>SUM(F7:F14)</f>
        <v>2739.7069999999999</v>
      </c>
      <c r="G15" s="560">
        <f t="shared" si="12"/>
        <v>100</v>
      </c>
      <c r="H15" s="282">
        <f t="shared" si="12"/>
        <v>2158.9459999999999</v>
      </c>
      <c r="I15" s="283">
        <f t="shared" si="12"/>
        <v>100</v>
      </c>
      <c r="J15" s="283">
        <f t="shared" si="12"/>
        <v>848.125</v>
      </c>
      <c r="K15" s="283">
        <f t="shared" si="12"/>
        <v>100</v>
      </c>
      <c r="L15" s="283">
        <f t="shared" si="12"/>
        <v>3007.0709999999999</v>
      </c>
      <c r="M15" s="560">
        <f t="shared" si="12"/>
        <v>100.00000000000001</v>
      </c>
      <c r="N15" s="643">
        <f t="shared" si="5"/>
        <v>109.75885377523946</v>
      </c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</row>
    <row r="16" spans="1:173" ht="14.1" customHeight="1" x14ac:dyDescent="0.25"/>
  </sheetData>
  <customSheetViews>
    <customSheetView guid="{5507C501-9942-4310-9E0E-987180BD1180}">
      <selection sqref="A1:N1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A2" sqref="A2:A3"/>
      <pageMargins left="0.7" right="0.7" top="0.75" bottom="0.75" header="0.3" footer="0.3"/>
      <pageSetup paperSize="9" orientation="portrait" verticalDpi="0" r:id="rId2"/>
    </customSheetView>
  </customSheetViews>
  <mergeCells count="4">
    <mergeCell ref="A4:A5"/>
    <mergeCell ref="B4:G4"/>
    <mergeCell ref="H4:M4"/>
    <mergeCell ref="N4:N5"/>
  </mergeCells>
  <pageMargins left="0.7" right="0.7" top="0.75" bottom="0.75" header="0.3" footer="0.3"/>
  <pageSetup paperSize="9" scale="76" orientation="portrait" verticalDpi="0" r:id="rId3"/>
  <ignoredErrors>
    <ignoredError sqref="F7:F14 L7:L14" formula="1"/>
  </ignoredErrors>
  <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63"/>
  <dimension ref="A1:FW23"/>
  <sheetViews>
    <sheetView showGridLines="0" topLeftCell="A2" zoomScaleNormal="100" workbookViewId="0">
      <selection activeCell="A3" sqref="A3:F3"/>
    </sheetView>
  </sheetViews>
  <sheetFormatPr defaultColWidth="8.6640625" defaultRowHeight="12" x14ac:dyDescent="0.25"/>
  <cols>
    <col min="1" max="1" width="44.44140625" style="3" customWidth="1"/>
    <col min="2" max="6" width="8.5546875" style="3" customWidth="1"/>
    <col min="7" max="7" width="8.5546875" style="183" customWidth="1"/>
    <col min="8" max="8" width="8.6640625" style="3"/>
    <col min="9" max="14" width="5.77734375" style="3" customWidth="1"/>
    <col min="15" max="16384" width="8.6640625" style="3"/>
  </cols>
  <sheetData>
    <row r="1" spans="1:179" ht="14.4" hidden="1" x14ac:dyDescent="0.3">
      <c r="B1" s="120"/>
      <c r="C1" s="120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1:179" ht="14.4" x14ac:dyDescent="0.3">
      <c r="C2" s="155"/>
      <c r="D2" s="155"/>
      <c r="E2" s="155"/>
      <c r="F2" s="21"/>
      <c r="G2" s="640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1:179" ht="14.4" customHeight="1" x14ac:dyDescent="0.3">
      <c r="A3" s="796" t="s">
        <v>257</v>
      </c>
      <c r="B3" s="797"/>
      <c r="C3" s="797"/>
      <c r="D3" s="797"/>
      <c r="E3" s="797"/>
      <c r="F3" s="797"/>
      <c r="G3" s="65" t="s">
        <v>310</v>
      </c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</row>
    <row r="4" spans="1:179" ht="14.4" customHeight="1" x14ac:dyDescent="0.3">
      <c r="A4" s="794" t="s">
        <v>10</v>
      </c>
      <c r="B4" s="753" t="s">
        <v>551</v>
      </c>
      <c r="C4" s="755"/>
      <c r="D4" s="753" t="s">
        <v>559</v>
      </c>
      <c r="E4" s="755"/>
      <c r="F4" s="798" t="s">
        <v>331</v>
      </c>
      <c r="G4" s="793" t="s">
        <v>332</v>
      </c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</row>
    <row r="5" spans="1:179" ht="24" x14ac:dyDescent="0.3">
      <c r="A5" s="795"/>
      <c r="B5" s="156" t="s">
        <v>92</v>
      </c>
      <c r="C5" s="157" t="s">
        <v>93</v>
      </c>
      <c r="D5" s="156" t="s">
        <v>92</v>
      </c>
      <c r="E5" s="157" t="s">
        <v>93</v>
      </c>
      <c r="F5" s="761"/>
      <c r="G5" s="793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</row>
    <row r="6" spans="1:179" ht="12" customHeight="1" x14ac:dyDescent="0.3">
      <c r="A6" s="141" t="s">
        <v>542</v>
      </c>
      <c r="B6" s="142">
        <v>7740.107</v>
      </c>
      <c r="C6" s="143">
        <v>6056.5429999999997</v>
      </c>
      <c r="D6" s="142">
        <v>8354.1749999999993</v>
      </c>
      <c r="E6" s="143">
        <v>6695.1629999999996</v>
      </c>
      <c r="F6" s="48">
        <f>IF(B6&gt;0,D6*100/B6,"-")</f>
        <v>107.93358541425847</v>
      </c>
      <c r="G6" s="48">
        <f>IF(C6&gt;0,E6*100/C6,"-")</f>
        <v>110.54429895073807</v>
      </c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</row>
    <row r="7" spans="1:179" ht="12" customHeight="1" x14ac:dyDescent="0.3">
      <c r="A7" s="141" t="s">
        <v>96</v>
      </c>
      <c r="B7" s="144">
        <v>1201.183</v>
      </c>
      <c r="C7" s="145">
        <v>2102.5740000000001</v>
      </c>
      <c r="D7" s="144">
        <v>1333.143</v>
      </c>
      <c r="E7" s="145">
        <v>2358.3519999999999</v>
      </c>
      <c r="F7" s="646">
        <f t="shared" ref="F7:G10" si="0">IF(B7&gt;0,D7*100/B7,"-")</f>
        <v>110.98583646288699</v>
      </c>
      <c r="G7" s="48">
        <f t="shared" si="0"/>
        <v>112.16499395502845</v>
      </c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</row>
    <row r="8" spans="1:179" ht="12" customHeight="1" x14ac:dyDescent="0.3">
      <c r="A8" s="141" t="s">
        <v>390</v>
      </c>
      <c r="B8" s="142">
        <f>B6+B7</f>
        <v>8941.2900000000009</v>
      </c>
      <c r="C8" s="143">
        <f t="shared" ref="C8:E8" si="1">C6+C7</f>
        <v>8159.1170000000002</v>
      </c>
      <c r="D8" s="142">
        <f t="shared" si="1"/>
        <v>9687.3179999999993</v>
      </c>
      <c r="E8" s="143">
        <f t="shared" si="1"/>
        <v>9053.5149999999994</v>
      </c>
      <c r="F8" s="48">
        <f t="shared" si="0"/>
        <v>108.3436282684042</v>
      </c>
      <c r="G8" s="48">
        <f t="shared" si="0"/>
        <v>110.96194600469634</v>
      </c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</row>
    <row r="9" spans="1:179" ht="14.4" x14ac:dyDescent="0.3">
      <c r="A9" s="141" t="s">
        <v>543</v>
      </c>
      <c r="B9" s="144">
        <v>624.79899999999998</v>
      </c>
      <c r="C9" s="145">
        <v>282.13099999999997</v>
      </c>
      <c r="D9" s="144">
        <v>592.471</v>
      </c>
      <c r="E9" s="145">
        <v>277.07299999999998</v>
      </c>
      <c r="F9" s="646">
        <f t="shared" si="0"/>
        <v>94.82585599528808</v>
      </c>
      <c r="G9" s="48">
        <f t="shared" si="0"/>
        <v>98.207215796917041</v>
      </c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</row>
    <row r="10" spans="1:179" s="130" customFormat="1" ht="12" customHeight="1" thickBot="1" x14ac:dyDescent="0.35">
      <c r="A10" s="146" t="s">
        <v>121</v>
      </c>
      <c r="B10" s="147">
        <f>B8-B9</f>
        <v>8316.4910000000018</v>
      </c>
      <c r="C10" s="148">
        <f t="shared" ref="C10:E10" si="2">C8-C9</f>
        <v>7876.9859999999999</v>
      </c>
      <c r="D10" s="147">
        <f t="shared" si="2"/>
        <v>9094.8469999999998</v>
      </c>
      <c r="E10" s="148">
        <f t="shared" si="2"/>
        <v>8776.4419999999991</v>
      </c>
      <c r="F10" s="647">
        <f t="shared" si="0"/>
        <v>109.35918766701</v>
      </c>
      <c r="G10" s="98">
        <f t="shared" si="0"/>
        <v>111.4187837835436</v>
      </c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</row>
    <row r="18" spans="1:7" x14ac:dyDescent="0.25">
      <c r="A18" s="158"/>
      <c r="B18" s="158"/>
      <c r="C18" s="158"/>
      <c r="D18" s="158"/>
      <c r="E18" s="158"/>
      <c r="F18" s="158"/>
      <c r="G18" s="158"/>
    </row>
    <row r="19" spans="1:7" x14ac:dyDescent="0.25">
      <c r="A19" s="24"/>
      <c r="B19" s="20"/>
      <c r="C19" s="20"/>
      <c r="D19" s="20"/>
      <c r="E19" s="20"/>
      <c r="F19" s="20"/>
      <c r="G19" s="20"/>
    </row>
    <row r="20" spans="1:7" x14ac:dyDescent="0.25">
      <c r="A20" s="24"/>
      <c r="B20" s="150"/>
      <c r="C20" s="150"/>
      <c r="D20" s="150"/>
      <c r="E20" s="150"/>
      <c r="F20" s="149"/>
      <c r="G20" s="20"/>
    </row>
    <row r="21" spans="1:7" x14ac:dyDescent="0.25">
      <c r="A21" s="24"/>
      <c r="B21" s="20"/>
      <c r="C21" s="20"/>
      <c r="D21" s="20"/>
      <c r="E21" s="20"/>
      <c r="F21" s="20"/>
      <c r="G21" s="20"/>
    </row>
    <row r="22" spans="1:7" x14ac:dyDescent="0.25">
      <c r="A22" s="24"/>
      <c r="B22" s="150"/>
      <c r="C22" s="150"/>
      <c r="D22" s="150"/>
      <c r="E22" s="150"/>
      <c r="F22" s="149"/>
      <c r="G22" s="20"/>
    </row>
    <row r="23" spans="1:7" x14ac:dyDescent="0.25">
      <c r="A23" s="25"/>
      <c r="B23" s="151"/>
      <c r="C23" s="151"/>
      <c r="D23" s="151"/>
      <c r="E23" s="151"/>
      <c r="F23" s="152"/>
      <c r="G23" s="153"/>
    </row>
  </sheetData>
  <customSheetViews>
    <customSheetView guid="{5507C501-9942-4310-9E0E-987180BD1180}">
      <selection activeCell="G5" sqref="G5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G5" sqref="G5"/>
      <pageMargins left="0.7" right="0.7" top="0.75" bottom="0.75" header="0.3" footer="0.3"/>
      <pageSetup paperSize="9" orientation="portrait" verticalDpi="0" r:id="rId2"/>
    </customSheetView>
  </customSheetViews>
  <mergeCells count="6">
    <mergeCell ref="G4:G5"/>
    <mergeCell ref="B4:C4"/>
    <mergeCell ref="D4:E4"/>
    <mergeCell ref="A4:A5"/>
    <mergeCell ref="A3:F3"/>
    <mergeCell ref="F4:F5"/>
  </mergeCells>
  <pageMargins left="0.7" right="0.7" top="0.75" bottom="0.75" header="0.3" footer="0.3"/>
  <pageSetup paperSize="9" orientation="portrait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K39"/>
  <sheetViews>
    <sheetView zoomScaleNormal="100" workbookViewId="0"/>
  </sheetViews>
  <sheetFormatPr defaultRowHeight="14.4" x14ac:dyDescent="0.3"/>
  <cols>
    <col min="1" max="1" width="16.33203125" bestFit="1" customWidth="1"/>
    <col min="2" max="2" width="89.44140625" customWidth="1"/>
    <col min="6" max="6" width="6.5546875" customWidth="1"/>
  </cols>
  <sheetData>
    <row r="1" spans="1:167" s="39" customFormat="1" ht="15.75" customHeight="1" thickBot="1" x14ac:dyDescent="0.35">
      <c r="A1" s="43" t="s">
        <v>301</v>
      </c>
      <c r="B1" s="43"/>
      <c r="C1" s="28"/>
      <c r="D1" s="28"/>
      <c r="E1" s="28"/>
      <c r="F1" s="28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</row>
    <row r="2" spans="1:167" ht="15" thickTop="1" x14ac:dyDescent="0.3">
      <c r="A2" s="41" t="s">
        <v>435</v>
      </c>
      <c r="B2" s="1" t="s">
        <v>248</v>
      </c>
    </row>
    <row r="3" spans="1:167" x14ac:dyDescent="0.3">
      <c r="A3" s="41" t="s">
        <v>270</v>
      </c>
      <c r="B3" s="1" t="s">
        <v>249</v>
      </c>
      <c r="C3" s="41"/>
      <c r="D3" s="1"/>
    </row>
    <row r="4" spans="1:167" x14ac:dyDescent="0.3">
      <c r="A4" s="41" t="s">
        <v>271</v>
      </c>
      <c r="B4" s="1" t="s">
        <v>250</v>
      </c>
      <c r="C4" s="41"/>
      <c r="D4" s="44"/>
    </row>
    <row r="5" spans="1:167" x14ac:dyDescent="0.3">
      <c r="A5" s="41" t="s">
        <v>200</v>
      </c>
      <c r="B5" s="1" t="s">
        <v>379</v>
      </c>
      <c r="C5" s="41"/>
      <c r="D5" s="44"/>
    </row>
    <row r="6" spans="1:167" x14ac:dyDescent="0.3">
      <c r="A6" s="41" t="s">
        <v>272</v>
      </c>
      <c r="B6" s="1" t="s">
        <v>251</v>
      </c>
    </row>
    <row r="7" spans="1:167" x14ac:dyDescent="0.3">
      <c r="A7" s="41" t="s">
        <v>201</v>
      </c>
      <c r="B7" s="1" t="s">
        <v>252</v>
      </c>
    </row>
    <row r="8" spans="1:167" x14ac:dyDescent="0.3">
      <c r="A8" s="41" t="s">
        <v>273</v>
      </c>
      <c r="B8" s="1" t="s">
        <v>253</v>
      </c>
    </row>
    <row r="9" spans="1:167" x14ac:dyDescent="0.3">
      <c r="A9" s="41" t="s">
        <v>274</v>
      </c>
      <c r="B9" s="1" t="s">
        <v>404</v>
      </c>
    </row>
    <row r="10" spans="1:167" x14ac:dyDescent="0.3">
      <c r="A10" s="41" t="s">
        <v>202</v>
      </c>
      <c r="B10" s="1" t="s">
        <v>302</v>
      </c>
    </row>
    <row r="11" spans="1:167" x14ac:dyDescent="0.3">
      <c r="A11" s="41" t="s">
        <v>275</v>
      </c>
      <c r="B11" s="1" t="s">
        <v>254</v>
      </c>
    </row>
    <row r="12" spans="1:167" x14ac:dyDescent="0.3">
      <c r="A12" s="41" t="s">
        <v>203</v>
      </c>
      <c r="B12" s="1" t="s">
        <v>255</v>
      </c>
    </row>
    <row r="13" spans="1:167" x14ac:dyDescent="0.3">
      <c r="A13" s="41" t="s">
        <v>276</v>
      </c>
      <c r="B13" s="1" t="s">
        <v>256</v>
      </c>
    </row>
    <row r="14" spans="1:167" x14ac:dyDescent="0.3">
      <c r="A14" s="41" t="s">
        <v>277</v>
      </c>
      <c r="B14" s="1" t="s">
        <v>304</v>
      </c>
    </row>
    <row r="15" spans="1:167" x14ac:dyDescent="0.3">
      <c r="A15" s="41" t="s">
        <v>278</v>
      </c>
      <c r="B15" s="1" t="s">
        <v>303</v>
      </c>
    </row>
    <row r="16" spans="1:167" x14ac:dyDescent="0.3">
      <c r="A16" s="41" t="s">
        <v>279</v>
      </c>
      <c r="B16" s="1" t="s">
        <v>408</v>
      </c>
    </row>
    <row r="17" spans="1:6" x14ac:dyDescent="0.3">
      <c r="A17" s="41" t="s">
        <v>280</v>
      </c>
      <c r="B17" s="1" t="s">
        <v>409</v>
      </c>
    </row>
    <row r="18" spans="1:6" x14ac:dyDescent="0.3">
      <c r="A18" s="41" t="s">
        <v>281</v>
      </c>
      <c r="B18" s="1" t="s">
        <v>257</v>
      </c>
    </row>
    <row r="19" spans="1:6" x14ac:dyDescent="0.3">
      <c r="A19" s="41" t="s">
        <v>204</v>
      </c>
      <c r="B19" s="1" t="s">
        <v>305</v>
      </c>
    </row>
    <row r="20" spans="1:6" x14ac:dyDescent="0.3">
      <c r="A20" s="41" t="s">
        <v>282</v>
      </c>
      <c r="B20" s="1" t="s">
        <v>258</v>
      </c>
    </row>
    <row r="21" spans="1:6" x14ac:dyDescent="0.3">
      <c r="A21" s="41" t="s">
        <v>283</v>
      </c>
      <c r="B21" s="1" t="s">
        <v>259</v>
      </c>
    </row>
    <row r="22" spans="1:6" x14ac:dyDescent="0.3">
      <c r="A22" s="41" t="s">
        <v>284</v>
      </c>
      <c r="B22" s="1" t="s">
        <v>260</v>
      </c>
    </row>
    <row r="23" spans="1:6" x14ac:dyDescent="0.3">
      <c r="A23" s="41" t="s">
        <v>285</v>
      </c>
      <c r="B23" s="1" t="s">
        <v>261</v>
      </c>
    </row>
    <row r="24" spans="1:6" x14ac:dyDescent="0.3">
      <c r="A24" s="41" t="s">
        <v>286</v>
      </c>
      <c r="B24" s="1" t="s">
        <v>262</v>
      </c>
    </row>
    <row r="25" spans="1:6" x14ac:dyDescent="0.3">
      <c r="A25" s="41" t="s">
        <v>287</v>
      </c>
      <c r="B25" s="1" t="s">
        <v>263</v>
      </c>
      <c r="C25" s="42"/>
    </row>
    <row r="26" spans="1:6" x14ac:dyDescent="0.3">
      <c r="A26" s="41" t="s">
        <v>288</v>
      </c>
      <c r="B26" s="1" t="s">
        <v>264</v>
      </c>
      <c r="C26" s="42"/>
    </row>
    <row r="27" spans="1:6" x14ac:dyDescent="0.3">
      <c r="A27" s="41" t="s">
        <v>289</v>
      </c>
      <c r="B27" s="1" t="s">
        <v>265</v>
      </c>
      <c r="C27" s="42"/>
    </row>
    <row r="28" spans="1:6" x14ac:dyDescent="0.3">
      <c r="A28" s="41" t="s">
        <v>290</v>
      </c>
      <c r="B28" s="617" t="s">
        <v>5</v>
      </c>
      <c r="C28" s="42"/>
    </row>
    <row r="29" spans="1:6" x14ac:dyDescent="0.3">
      <c r="A29" s="41" t="s">
        <v>291</v>
      </c>
      <c r="B29" s="617" t="s">
        <v>266</v>
      </c>
      <c r="C29" s="42"/>
    </row>
    <row r="30" spans="1:6" x14ac:dyDescent="0.3">
      <c r="A30" s="41" t="s">
        <v>292</v>
      </c>
      <c r="B30" s="617" t="s">
        <v>267</v>
      </c>
      <c r="C30" s="42"/>
      <c r="D30" s="41"/>
      <c r="E30" s="617"/>
      <c r="F30" s="621"/>
    </row>
    <row r="31" spans="1:6" x14ac:dyDescent="0.3">
      <c r="A31" s="41" t="s">
        <v>293</v>
      </c>
      <c r="B31" s="617" t="s">
        <v>268</v>
      </c>
      <c r="C31" s="42"/>
      <c r="D31" s="41"/>
      <c r="E31" s="617"/>
    </row>
    <row r="32" spans="1:6" x14ac:dyDescent="0.3">
      <c r="A32" s="41" t="s">
        <v>294</v>
      </c>
      <c r="B32" s="617" t="s">
        <v>383</v>
      </c>
      <c r="C32" s="42"/>
      <c r="D32" s="41"/>
      <c r="E32" s="617"/>
    </row>
    <row r="33" spans="1:5" x14ac:dyDescent="0.3">
      <c r="A33" s="41" t="s">
        <v>295</v>
      </c>
      <c r="B33" s="1" t="s">
        <v>518</v>
      </c>
      <c r="C33" s="42"/>
      <c r="D33" s="41"/>
      <c r="E33" s="617"/>
    </row>
    <row r="34" spans="1:5" x14ac:dyDescent="0.3">
      <c r="A34" s="41" t="s">
        <v>296</v>
      </c>
      <c r="B34" s="617" t="s">
        <v>342</v>
      </c>
      <c r="C34" s="42"/>
      <c r="D34" s="41"/>
      <c r="E34" s="617"/>
    </row>
    <row r="35" spans="1:5" x14ac:dyDescent="0.3">
      <c r="A35" s="41" t="s">
        <v>297</v>
      </c>
      <c r="B35" s="617" t="s">
        <v>354</v>
      </c>
      <c r="C35" s="42"/>
      <c r="D35" s="41"/>
      <c r="E35" s="617"/>
    </row>
    <row r="36" spans="1:5" x14ac:dyDescent="0.3">
      <c r="A36" s="41" t="s">
        <v>298</v>
      </c>
      <c r="B36" s="617" t="s">
        <v>307</v>
      </c>
      <c r="C36" s="42"/>
      <c r="D36" s="41"/>
      <c r="E36" s="617"/>
    </row>
    <row r="37" spans="1:5" x14ac:dyDescent="0.3">
      <c r="A37" s="40" t="s">
        <v>299</v>
      </c>
      <c r="B37" s="1" t="s">
        <v>269</v>
      </c>
    </row>
    <row r="38" spans="1:5" x14ac:dyDescent="0.3">
      <c r="A38" s="40" t="s">
        <v>300</v>
      </c>
      <c r="B38" s="1" t="s">
        <v>436</v>
      </c>
    </row>
    <row r="39" spans="1:5" x14ac:dyDescent="0.3">
      <c r="A39" s="40" t="s">
        <v>392</v>
      </c>
      <c r="B39" s="1" t="s">
        <v>256</v>
      </c>
    </row>
  </sheetData>
  <customSheetViews>
    <customSheetView guid="{5507C501-9942-4310-9E0E-987180BD1180}">
      <selection activeCell="B30" sqref="B30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B1" sqref="B1:B9"/>
      <pageMargins left="0.7" right="0.7" top="0.75" bottom="0.75" header="0.3" footer="0.3"/>
      <pageSetup paperSize="9" orientation="portrait" verticalDpi="0" r:id="rId2"/>
    </customSheetView>
  </customSheetViews>
  <phoneticPr fontId="18" type="noConversion"/>
  <conditionalFormatting sqref="A30:A36">
    <cfRule type="cellIs" dxfId="6" priority="17" operator="equal">
      <formula>"ne"</formula>
    </cfRule>
    <cfRule type="cellIs" dxfId="5" priority="18" operator="equal">
      <formula>"da"</formula>
    </cfRule>
  </conditionalFormatting>
  <conditionalFormatting sqref="D32:D36">
    <cfRule type="cellIs" dxfId="4" priority="35" operator="equal">
      <formula>"ne"</formula>
    </cfRule>
    <cfRule type="cellIs" dxfId="3" priority="36" operator="equal">
      <formula>"da"</formula>
    </cfRule>
  </conditionalFormatting>
  <hyperlinks>
    <hyperlink ref="B2" location="'Tab 0'!B2" display="Банке РС и организациони дијелови банака из ФБиХ у РС" xr:uid="{0A2D11A0-51B3-439F-800A-7A49C02E8AC9}"/>
    <hyperlink ref="B3" location="'Tab 1'!A1" display="Тржишно учешће банака у укупној активи, капиталу и депозитима" xr:uid="{95C66DD5-6EC7-44C6-AB56-CD705F534EB8}"/>
    <hyperlink ref="B4" location="'Tab 2'!A2" display="Актива по запосленом" xr:uid="{327126D5-DAE1-4188-AB19-A607F31DF4CE}"/>
    <hyperlink ref="B5" location="'Tab 3'!A3" display="Биланс стања" xr:uid="{47482C56-F830-41ED-88ED-F85289AD8182}"/>
    <hyperlink ref="B6" location="'Tab 4'!A3" display="Секторска структура депозита" xr:uid="{B48E8A0B-5C5B-4645-8884-ED3546DBB89C}"/>
    <hyperlink ref="B7" location="'Tab 5'!A3" display="Структура депозита по валути" xr:uid="{17DFE825-4C35-492D-A1EF-1A3CE3852C6A}"/>
    <hyperlink ref="B8" location="'Tab 6'!A3" display="Рочна структура депозита" xr:uid="{D7985A94-ECE2-4A3D-ADF8-4CF705A07297}"/>
    <hyperlink ref="B9" location="'Tab 7'!A3" display="Кредити и штедња грађана" xr:uid="{0664D513-6FA1-4955-8F8C-B8FC26BF02F7}"/>
    <hyperlink ref="B10" location="'Tab 8'!A3" display="Рочна и секторска структура депозита" xr:uid="{2B98C525-5379-4D8D-8EB5-033A4789AC3B}"/>
    <hyperlink ref="B11" location="'Tab 9'!A3" display="Структура ванбилансне активе" xr:uid="{19504D50-2507-4292-ADAA-C28782B31640}"/>
    <hyperlink ref="B12" location="'Tab 10'!A3" display="Структура новчаних средстава" xr:uid="{0B4DD707-2461-45C8-BCA5-702625F667A2}"/>
    <hyperlink ref="B13" location="'Tab 11'!A3" display="Секторска структура укупних кредита" xr:uid="{5ABCCBE5-E632-4965-91BF-821B2AE68327}"/>
    <hyperlink ref="B14" location="'Tab 12'!A3" display="Рочна структура кредита" xr:uid="{1BC794E9-9241-496A-9A46-C0F9E0BFA4F9}"/>
    <hyperlink ref="B15" location="'Tab 13'!A3" display="Рочна и секторска структура кредита" xr:uid="{F162E2B9-FD15-4A41-80A1-38D5608BD068}"/>
    <hyperlink ref="B16" location="'Tab 14'!A3" display="Структура кредита грађанима банака РС и посл. јединица банака из ФБиХ" xr:uid="{6ECBBCBB-8D90-439E-9720-1A8AFA60E9BF}"/>
    <hyperlink ref="B17" location="'Tab 15'!A3" display="Намјенска структура кредита грађанима за општу потрошњу" xr:uid="{FF5A5875-464A-4C77-B069-F1AF9447479A}"/>
    <hyperlink ref="B18" location="'Tab 16'!A3" display="Прикупљени депозити и пласирани кредити" xr:uid="{6F4DF046-762C-43D8-9600-54A5F86BCA31}"/>
    <hyperlink ref="B19" location="'Tab 17'!A4" display="Задуженост становништва по кредитима (осим кредита за обављање дјелатности)" xr:uid="{6AA42372-37A3-41C5-9776-4465EE9B16B0}"/>
    <hyperlink ref="B20" location="'Tab 18'!A2" display="Биланс успјеха банкарског сектора РС" xr:uid="{6FAA690E-B3CE-4D08-ACCF-D66515FC1AF3}"/>
    <hyperlink ref="B21" location="'Tab 19'!A2" display="ROAA и ROAE показатељи" xr:uid="{5E621FF8-1138-4BC6-B178-70A088D0921B}"/>
    <hyperlink ref="B22" location="'Tab 20'!A4" display="Укупна финансијска имовина према начину вредновања и ЕCL" xr:uid="{EFE36F4C-82AC-445D-8E1D-2609F677013E}"/>
    <hyperlink ref="B23" location="'Tab 21'!A4" display="Укупна финансијска имовина према нивоима кредитног ризика" xr:uid="{F6F3F53C-7D09-46CC-9A5D-B32E39AE523A}"/>
    <hyperlink ref="B24" location="'Tab 22'!A4" display="Преглед кредита правним и физичким лицима према нивоу кредитног ризика и припадајући ECL" xr:uid="{4CB857CF-D916-48C6-8064-EC2624769289}"/>
    <hyperlink ref="B25" location="'Tab 23'!A1" display="Просјечне пондерисане каматне стопе на кредите" xr:uid="{A878DE22-0E97-4AF5-A201-EB2CB59D4F43}"/>
    <hyperlink ref="B26" location="'Tab 24'!A3" display="Просјечне пондерисане каматне стопе на депозите" xr:uid="{6116DEA1-E1E4-492E-8C80-8C3617FF3665}"/>
    <hyperlink ref="B27" location="'Tab 25'!B2" display="Просјечне пондерисане каматне стопе на прекорачења и депозите по виђењу" xr:uid="{8DB15374-5CDA-4C8B-B0B5-7A2DADDEA436}"/>
    <hyperlink ref="B28" location="'Tab 26'!B2" display="Структура капитала" xr:uid="{D342FA78-D6F8-4B90-BBB8-C3C41989867B}"/>
    <hyperlink ref="B29" location="'Tab 27'!A1" display="Укупна изложеност банкарског сектора ризику " xr:uid="{D6BECCAF-0EC4-4E54-A5B9-E75FF6C184C6}"/>
    <hyperlink ref="B30" location="'Tab 28'!B2" display="Показатељи адекватности капитала" xr:uid="{E2D4AC0F-7B08-4EA3-915D-FF60053975DA}"/>
    <hyperlink ref="B31" location="'Tab 29'!B2" display="Стопа финансијске полуге" xr:uid="{50FC10EC-0083-49A5-B162-E576E4858D68}"/>
    <hyperlink ref="B32" location="'Tab 30'!B2" display="Коефицијент покрића ликвидности - LCR" xr:uid="{C4C26664-0A95-4549-8E91-FAEBF436FA8B}"/>
    <hyperlink ref="B33" location="'Tab 31'!A2" display="Коефицијент нето стабилних извора финансирања - NSFR" xr:uid="{AFA0BB36-DDC0-4E4B-8BF1-7105938EDC39}"/>
    <hyperlink ref="B34" location="'Tab 32'!B2" display="Рочна структура депозита по преосталом доспијећу" xr:uid="{9430FF07-2FE3-419D-A3D0-497B815659E3}"/>
    <hyperlink ref="B35" location="'Tab 33'!B2" display="Показатељи ликвидности" xr:uid="{A8247AC6-D260-4117-B40D-CFCF5866269C}"/>
    <hyperlink ref="B36" location="'Tab 34'!B2" display="Унутрашњи платни промет" xr:uid="{C7E27C3C-FBAC-4171-A675-BB8E5F3CDA65}"/>
    <hyperlink ref="B37" location="'Pr 1'!B2" display="Основни подаци о банкама" xr:uid="{E5CBA442-5920-4AB9-937E-A4BA63ECB534}"/>
    <hyperlink ref="B38" location="'Pr 2'!A2" display="Биланс успјеха" xr:uid="{9D5D2FDB-5FCC-4FD2-98B6-EC9705FBFEF6}"/>
    <hyperlink ref="B39" location="'Pr 3'!A2" display="Секторска структура укупних кредита" xr:uid="{38AB4263-EECE-4A53-995D-0504762FC47F}"/>
  </hyperlinks>
  <pageMargins left="0.7" right="0.7" top="0.75" bottom="0.75" header="0.3" footer="0.3"/>
  <pageSetup paperSize="9" orientation="portrait" verticalDpi="0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110">
    <tabColor theme="0" tint="-4.9989318521683403E-2"/>
  </sheetPr>
  <dimension ref="A1:FY10"/>
  <sheetViews>
    <sheetView showGridLines="0" topLeftCell="B3" zoomScaleNormal="100" workbookViewId="0">
      <selection activeCell="E7" sqref="E7"/>
    </sheetView>
  </sheetViews>
  <sheetFormatPr defaultColWidth="9.109375" defaultRowHeight="12" x14ac:dyDescent="0.25"/>
  <cols>
    <col min="1" max="1" width="4.5546875" style="21" hidden="1" customWidth="1"/>
    <col min="2" max="2" width="45" style="3" customWidth="1"/>
    <col min="3" max="6" width="10.5546875" style="3" customWidth="1"/>
    <col min="7" max="7" width="9.109375" style="3"/>
    <col min="8" max="14" width="5.77734375" style="3" customWidth="1"/>
    <col min="15" max="16384" width="9.109375" style="3"/>
  </cols>
  <sheetData>
    <row r="1" spans="2:181" ht="14.4" hidden="1" x14ac:dyDescent="0.3">
      <c r="B1" s="154"/>
      <c r="C1" s="154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</row>
    <row r="2" spans="2:181" ht="14.4" hidden="1" x14ac:dyDescent="0.3"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</row>
    <row r="3" spans="2:181" ht="14.4" x14ac:dyDescent="0.3"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</row>
    <row r="4" spans="2:181" ht="14.4" customHeight="1" x14ac:dyDescent="0.25">
      <c r="B4" s="119" t="s">
        <v>305</v>
      </c>
      <c r="C4" s="46"/>
      <c r="D4" s="46"/>
      <c r="E4" s="46"/>
      <c r="F4" s="275" t="s">
        <v>310</v>
      </c>
    </row>
    <row r="5" spans="2:181" ht="22.8" customHeight="1" x14ac:dyDescent="0.25">
      <c r="B5" s="176" t="s">
        <v>10</v>
      </c>
      <c r="C5" s="483" t="s">
        <v>522</v>
      </c>
      <c r="D5" s="245" t="s">
        <v>551</v>
      </c>
      <c r="E5" s="484" t="s">
        <v>559</v>
      </c>
      <c r="F5" s="632" t="str">
        <f>IF(LEN(E5)&gt;5,"Индекс " &amp; MID(E5,1,2) &amp; "-" &amp; MID(E5,4,5) &amp; "/" &amp; D5,"Индекс " &amp; E5 &amp; "/" &amp; D5)</f>
        <v>Индекс 2024./2023.</v>
      </c>
    </row>
    <row r="6" spans="2:181" ht="12" customHeight="1" x14ac:dyDescent="0.25">
      <c r="B6" s="159" t="s">
        <v>489</v>
      </c>
      <c r="C6" s="485"/>
      <c r="D6" s="409"/>
      <c r="E6" s="486"/>
      <c r="F6" s="160"/>
    </row>
    <row r="7" spans="2:181" ht="12" customHeight="1" x14ac:dyDescent="0.25">
      <c r="B7" s="512" t="s">
        <v>529</v>
      </c>
      <c r="C7" s="485">
        <v>2712.462</v>
      </c>
      <c r="D7" s="251">
        <v>2836.4270000000001</v>
      </c>
      <c r="E7" s="487">
        <v>3141.4479999999999</v>
      </c>
      <c r="F7" s="160">
        <f t="shared" ref="F7" si="0">IF(D7&gt;0,E7*100/D7,"-")</f>
        <v>110.75370527780196</v>
      </c>
    </row>
    <row r="8" spans="2:181" ht="12" customHeight="1" x14ac:dyDescent="0.25">
      <c r="B8" s="512" t="s">
        <v>530</v>
      </c>
      <c r="C8" s="485">
        <v>111.46299999999999</v>
      </c>
      <c r="D8" s="251">
        <v>97.466999999999999</v>
      </c>
      <c r="E8" s="487">
        <v>98.73</v>
      </c>
      <c r="F8" s="160">
        <f>IF(D8&gt;0,E8*100/D8,"-")</f>
        <v>101.29582320169904</v>
      </c>
    </row>
    <row r="9" spans="2:181" ht="12" customHeight="1" x14ac:dyDescent="0.25">
      <c r="B9" s="512" t="s">
        <v>531</v>
      </c>
      <c r="C9" s="521">
        <v>850.625</v>
      </c>
      <c r="D9" s="522">
        <v>985.399</v>
      </c>
      <c r="E9" s="523">
        <v>1102.6369999999999</v>
      </c>
      <c r="F9" s="160">
        <f t="shared" ref="F9" si="1">IF(D9&gt;0,E9*100/D9,"-")</f>
        <v>111.89751562565012</v>
      </c>
    </row>
    <row r="10" spans="2:181" ht="12" customHeight="1" thickBot="1" x14ac:dyDescent="0.3">
      <c r="B10" s="488" t="s">
        <v>146</v>
      </c>
      <c r="C10" s="489">
        <f>C7-C8+C9</f>
        <v>3451.6239999999998</v>
      </c>
      <c r="D10" s="490">
        <f>D7-D8+D9</f>
        <v>3724.3589999999999</v>
      </c>
      <c r="E10" s="491">
        <f>E7-E8+E9</f>
        <v>4145.3549999999996</v>
      </c>
      <c r="F10" s="492">
        <f>IF(D10&gt;0,E10*100/D10,"-")</f>
        <v>111.30385121305437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2C32F-3E4D-410C-8F47-7BC9B49271EC}">
  <sheetPr codeName="Sheet76"/>
  <dimension ref="A1:FW21"/>
  <sheetViews>
    <sheetView showGridLines="0" zoomScaleNormal="100" workbookViewId="0">
      <selection activeCell="B26" sqref="B26"/>
    </sheetView>
  </sheetViews>
  <sheetFormatPr defaultColWidth="8.6640625" defaultRowHeight="12" x14ac:dyDescent="0.25"/>
  <cols>
    <col min="1" max="1" width="49.33203125" style="3" bestFit="1" customWidth="1"/>
    <col min="2" max="4" width="8.6640625" style="3" bestFit="1" customWidth="1"/>
    <col min="5" max="5" width="7.44140625" style="3" bestFit="1" customWidth="1"/>
    <col min="6" max="6" width="8.88671875" style="3" customWidth="1"/>
    <col min="7" max="7" width="8.6640625" style="3" customWidth="1"/>
    <col min="8" max="8" width="0" style="3" hidden="1" customWidth="1"/>
    <col min="9" max="14" width="5.77734375" style="3" customWidth="1"/>
    <col min="15" max="16384" width="8.6640625" style="3"/>
  </cols>
  <sheetData>
    <row r="1" spans="1:179" ht="14.4" x14ac:dyDescent="0.3">
      <c r="A1" s="138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1:179" ht="14.4" customHeight="1" x14ac:dyDescent="0.3">
      <c r="A2" s="46" t="s">
        <v>541</v>
      </c>
      <c r="B2" s="46"/>
      <c r="C2" s="46"/>
      <c r="D2" s="46"/>
      <c r="E2" s="46"/>
      <c r="F2" s="275" t="s">
        <v>310</v>
      </c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1:179" ht="14.4" x14ac:dyDescent="0.3">
      <c r="A3" s="799" t="s">
        <v>10</v>
      </c>
      <c r="B3" s="801" t="s">
        <v>551</v>
      </c>
      <c r="C3" s="802"/>
      <c r="D3" s="801" t="s">
        <v>559</v>
      </c>
      <c r="E3" s="802"/>
      <c r="F3" s="803" t="str">
        <f>IF(LEN(D3)&gt;5,"Индекс " &amp; MID(D3,1,2) &amp; "-" &amp; MID(D3,4,5) &amp; "/" &amp; IF(LEN(B3)&gt;5,MID(B3,1,2) &amp; "-" &amp; MID(B3,4,5),B3),"Индекс " &amp; D3 &amp; "/" &amp; IF(LEN(B3)&gt;5,MID(B3,1,2) &amp; "-" &amp; MID(B3,4,5),B3))</f>
        <v>Индекс 2024./2023.</v>
      </c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</row>
    <row r="4" spans="1:179" ht="14.4" x14ac:dyDescent="0.3">
      <c r="A4" s="800"/>
      <c r="B4" s="565" t="s">
        <v>2</v>
      </c>
      <c r="C4" s="566" t="s">
        <v>3</v>
      </c>
      <c r="D4" s="565" t="s">
        <v>2</v>
      </c>
      <c r="E4" s="566" t="s">
        <v>3</v>
      </c>
      <c r="F4" s="793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</row>
    <row r="5" spans="1:179" ht="14.1" customHeight="1" x14ac:dyDescent="0.3">
      <c r="A5" s="567" t="s">
        <v>500</v>
      </c>
      <c r="B5" s="573"/>
      <c r="C5" s="568"/>
      <c r="D5" s="573"/>
      <c r="E5" s="568"/>
      <c r="F5" s="569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</row>
    <row r="6" spans="1:179" ht="14.1" customHeight="1" x14ac:dyDescent="0.3">
      <c r="A6" s="570" t="s">
        <v>100</v>
      </c>
      <c r="B6" s="162">
        <v>409.43</v>
      </c>
      <c r="C6" s="571">
        <f>IF(B$8&lt;&gt;0,B6*100/B$8,0)</f>
        <v>62.971405017656544</v>
      </c>
      <c r="D6" s="162">
        <v>468.05700000000002</v>
      </c>
      <c r="E6" s="571">
        <f>IF(D$8&lt;&gt;0,D6*100/D$8,0)</f>
        <v>62.892205406727307</v>
      </c>
      <c r="F6" s="572">
        <f>IF(B6&lt;&gt;0,D6/B6*100,"-")</f>
        <v>114.31917543902499</v>
      </c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</row>
    <row r="7" spans="1:179" ht="14.1" customHeight="1" x14ac:dyDescent="0.3">
      <c r="A7" s="570" t="s">
        <v>501</v>
      </c>
      <c r="B7" s="162">
        <v>240.75399999999999</v>
      </c>
      <c r="C7" s="571">
        <f>IF(B$8&lt;&gt;0,B7*100/B$8,0)</f>
        <v>37.028594982343456</v>
      </c>
      <c r="D7" s="162">
        <v>276.16399999999999</v>
      </c>
      <c r="E7" s="571">
        <f>IF(D$8&lt;&gt;0,D7*100/D$8,0)</f>
        <v>37.107794593272693</v>
      </c>
      <c r="F7" s="572">
        <f>IF(B7&lt;&gt;0,D7/B7*100,"-")</f>
        <v>114.70795916163388</v>
      </c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</row>
    <row r="8" spans="1:179" ht="14.1" customHeight="1" x14ac:dyDescent="0.3">
      <c r="A8" s="567" t="s">
        <v>502</v>
      </c>
      <c r="B8" s="573">
        <f>SUM(B6:B7)</f>
        <v>650.18399999999997</v>
      </c>
      <c r="C8" s="574">
        <f>SUM(C6:C7)</f>
        <v>100</v>
      </c>
      <c r="D8" s="573">
        <f>SUM(D6:D7)</f>
        <v>744.221</v>
      </c>
      <c r="E8" s="574">
        <f>SUM(E6:E7)</f>
        <v>100</v>
      </c>
      <c r="F8" s="584">
        <f>IF(B8&lt;&gt;0,D8/B8*100,"-")</f>
        <v>114.46313658902712</v>
      </c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</row>
    <row r="9" spans="1:179" ht="14.1" customHeight="1" x14ac:dyDescent="0.3">
      <c r="A9" s="567" t="s">
        <v>503</v>
      </c>
      <c r="B9" s="573"/>
      <c r="C9" s="568"/>
      <c r="D9" s="573"/>
      <c r="E9" s="568"/>
      <c r="F9" s="572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</row>
    <row r="10" spans="1:179" ht="14.1" customHeight="1" x14ac:dyDescent="0.3">
      <c r="A10" s="570" t="s">
        <v>504</v>
      </c>
      <c r="B10" s="162">
        <v>56.777999999999999</v>
      </c>
      <c r="C10" s="571">
        <f>IF(B$13&lt;&gt;0,B10*100/B$13,0)</f>
        <v>12.870452227133628</v>
      </c>
      <c r="D10" s="162">
        <v>78.554000000000002</v>
      </c>
      <c r="E10" s="571">
        <f>IF(D$13&lt;&gt;0,D10*100/D$13,0)</f>
        <v>16.55538976421099</v>
      </c>
      <c r="F10" s="572">
        <f t="shared" ref="F10:F18" si="0">IF(B10&lt;&gt;0,D10/B10*100,"-")</f>
        <v>138.35288315897003</v>
      </c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</row>
    <row r="11" spans="1:179" ht="14.1" customHeight="1" x14ac:dyDescent="0.3">
      <c r="A11" s="570" t="s">
        <v>505</v>
      </c>
      <c r="B11" s="162">
        <v>104.27200000000001</v>
      </c>
      <c r="C11" s="571">
        <f>IF(B$13&lt;&gt;0,B11*100/B$13,0)</f>
        <v>23.636404850957724</v>
      </c>
      <c r="D11" s="162">
        <v>97.882999999999996</v>
      </c>
      <c r="E11" s="571">
        <f>IF(D$13&lt;&gt;0,D11*100/D$13,0)</f>
        <v>20.629009551267458</v>
      </c>
      <c r="F11" s="572">
        <f t="shared" si="0"/>
        <v>93.872755869264992</v>
      </c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</row>
    <row r="12" spans="1:179" ht="14.1" customHeight="1" x14ac:dyDescent="0.3">
      <c r="A12" s="570" t="s">
        <v>506</v>
      </c>
      <c r="B12" s="162">
        <v>280.10000000000002</v>
      </c>
      <c r="C12" s="571">
        <f>IF(B$13&lt;&gt;0,B12*100/B$13,0)</f>
        <v>63.49314292190865</v>
      </c>
      <c r="D12" s="162">
        <v>298.05500000000001</v>
      </c>
      <c r="E12" s="571">
        <f>IF(D$13&lt;&gt;0,D12*100/D$13,0)</f>
        <v>62.815600684521549</v>
      </c>
      <c r="F12" s="572">
        <f t="shared" si="0"/>
        <v>106.41021063905747</v>
      </c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</row>
    <row r="13" spans="1:179" ht="14.1" customHeight="1" x14ac:dyDescent="0.3">
      <c r="A13" s="567" t="s">
        <v>507</v>
      </c>
      <c r="B13" s="573">
        <f>SUM(B10:B12)</f>
        <v>441.15000000000003</v>
      </c>
      <c r="C13" s="574">
        <f>SUM(C10:C12)</f>
        <v>100</v>
      </c>
      <c r="D13" s="573">
        <f>SUM(D10:D12)</f>
        <v>474.49200000000002</v>
      </c>
      <c r="E13" s="574">
        <f>SUM(E10:E12)</f>
        <v>100</v>
      </c>
      <c r="F13" s="584">
        <f t="shared" si="0"/>
        <v>107.5579734784087</v>
      </c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</row>
    <row r="14" spans="1:179" ht="14.1" customHeight="1" x14ac:dyDescent="0.3">
      <c r="A14" s="567" t="s">
        <v>508</v>
      </c>
      <c r="B14" s="573">
        <f>B8-B13</f>
        <v>209.03399999999993</v>
      </c>
      <c r="C14" s="568"/>
      <c r="D14" s="573">
        <f>D8-D13</f>
        <v>269.72899999999998</v>
      </c>
      <c r="E14" s="568"/>
      <c r="F14" s="584">
        <f t="shared" si="0"/>
        <v>129.03594630538575</v>
      </c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</row>
    <row r="15" spans="1:179" ht="14.1" customHeight="1" x14ac:dyDescent="0.3">
      <c r="A15" s="567" t="s">
        <v>101</v>
      </c>
      <c r="B15" s="573">
        <v>209.03399999999999</v>
      </c>
      <c r="C15" s="568"/>
      <c r="D15" s="573">
        <v>269.72899999999998</v>
      </c>
      <c r="E15" s="568"/>
      <c r="F15" s="584">
        <f t="shared" si="0"/>
        <v>129.03594630538572</v>
      </c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</row>
    <row r="16" spans="1:179" ht="14.1" customHeight="1" x14ac:dyDescent="0.3">
      <c r="A16" s="567" t="s">
        <v>102</v>
      </c>
      <c r="B16" s="573">
        <v>0</v>
      </c>
      <c r="C16" s="568"/>
      <c r="D16" s="573">
        <v>0</v>
      </c>
      <c r="E16" s="568"/>
      <c r="F16" s="584" t="str">
        <f t="shared" si="0"/>
        <v>-</v>
      </c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</row>
    <row r="17" spans="1:179" ht="14.1" customHeight="1" x14ac:dyDescent="0.3">
      <c r="A17" s="567" t="s">
        <v>103</v>
      </c>
      <c r="B17" s="575">
        <v>19.667999999999999</v>
      </c>
      <c r="C17" s="576"/>
      <c r="D17" s="575">
        <v>22.780999999999999</v>
      </c>
      <c r="E17" s="576"/>
      <c r="F17" s="584">
        <f t="shared" si="0"/>
        <v>115.82774049217002</v>
      </c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</row>
    <row r="18" spans="1:179" ht="14.1" customHeight="1" x14ac:dyDescent="0.3">
      <c r="A18" s="567" t="s">
        <v>104</v>
      </c>
      <c r="B18" s="162">
        <v>1.29</v>
      </c>
      <c r="C18" s="577"/>
      <c r="D18" s="162">
        <v>1.1339999999999999</v>
      </c>
      <c r="E18" s="576"/>
      <c r="F18" s="584">
        <f t="shared" si="0"/>
        <v>87.906976744186039</v>
      </c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</row>
    <row r="19" spans="1:179" ht="14.1" customHeight="1" x14ac:dyDescent="0.3">
      <c r="A19" s="567" t="s">
        <v>105</v>
      </c>
      <c r="B19" s="162">
        <v>1.3839999999999999</v>
      </c>
      <c r="C19" s="577"/>
      <c r="D19" s="162">
        <v>0.92200000000000004</v>
      </c>
      <c r="E19" s="576"/>
      <c r="F19" s="584">
        <f t="shared" ref="F19" si="1">IF(B19&lt;&gt;0,D19/B19*100,"-")</f>
        <v>66.618497109826606</v>
      </c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</row>
    <row r="20" spans="1:179" ht="14.1" customHeight="1" x14ac:dyDescent="0.3">
      <c r="A20" s="578" t="s">
        <v>106</v>
      </c>
      <c r="B20" s="579">
        <v>189.27199999999999</v>
      </c>
      <c r="C20" s="580"/>
      <c r="D20" s="579">
        <v>247.16</v>
      </c>
      <c r="E20" s="580"/>
      <c r="F20" s="585">
        <f>IF(B20&lt;&gt;0,D20/B20*100,"-")</f>
        <v>130.58455556025191</v>
      </c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</row>
    <row r="21" spans="1:179" ht="14.1" customHeight="1" thickBot="1" x14ac:dyDescent="0.35">
      <c r="A21" s="581" t="s">
        <v>107</v>
      </c>
      <c r="B21" s="582">
        <v>0</v>
      </c>
      <c r="C21" s="583"/>
      <c r="D21" s="582">
        <v>0</v>
      </c>
      <c r="E21" s="583"/>
      <c r="F21" s="616" t="str">
        <f>IF(B21&lt;&gt;0,D21/B21*100,"-")</f>
        <v>-</v>
      </c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</row>
  </sheetData>
  <mergeCells count="4">
    <mergeCell ref="A3:A4"/>
    <mergeCell ref="B3:C3"/>
    <mergeCell ref="D3:E3"/>
    <mergeCell ref="F3:F4"/>
  </mergeCells>
  <pageMargins left="0.7" right="0.7" top="0.75" bottom="0.75" header="0.3" footer="0.3"/>
  <pageSetup paperSize="9" scale="95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67">
    <tabColor theme="0" tint="-4.9989318521683403E-2"/>
  </sheetPr>
  <dimension ref="A2:G34"/>
  <sheetViews>
    <sheetView showGridLines="0" zoomScaleNormal="100" workbookViewId="0">
      <selection activeCell="L20" sqref="L20"/>
    </sheetView>
  </sheetViews>
  <sheetFormatPr defaultRowHeight="14.4" x14ac:dyDescent="0.3"/>
  <cols>
    <col min="1" max="1" width="37.44140625" customWidth="1"/>
    <col min="2" max="6" width="9.109375" customWidth="1"/>
    <col min="8" max="14" width="5.77734375" customWidth="1"/>
    <col min="15" max="15" width="11.33203125" customWidth="1"/>
  </cols>
  <sheetData>
    <row r="2" spans="1:6" ht="14.4" customHeight="1" x14ac:dyDescent="0.3">
      <c r="A2" s="46" t="s">
        <v>259</v>
      </c>
      <c r="B2" s="46"/>
      <c r="C2" s="46"/>
      <c r="D2" s="46"/>
      <c r="E2" s="46"/>
      <c r="F2" s="49" t="s">
        <v>310</v>
      </c>
    </row>
    <row r="3" spans="1:6" ht="13.8" customHeight="1" x14ac:dyDescent="0.3">
      <c r="A3" s="72" t="s">
        <v>10</v>
      </c>
      <c r="B3" s="285" t="s">
        <v>562</v>
      </c>
      <c r="C3" s="286" t="s">
        <v>563</v>
      </c>
      <c r="D3" s="286" t="s">
        <v>564</v>
      </c>
      <c r="E3" s="286" t="s">
        <v>565</v>
      </c>
      <c r="F3" s="286" t="s">
        <v>566</v>
      </c>
    </row>
    <row r="4" spans="1:6" ht="14.1" customHeight="1" x14ac:dyDescent="0.3">
      <c r="A4" s="287" t="s">
        <v>99</v>
      </c>
      <c r="B4" s="288">
        <v>52.805999999999997</v>
      </c>
      <c r="C4" s="289">
        <v>115.452</v>
      </c>
      <c r="D4" s="289">
        <v>139.29499999999999</v>
      </c>
      <c r="E4" s="289">
        <v>189.27199999999999</v>
      </c>
      <c r="F4" s="289">
        <v>247.16</v>
      </c>
    </row>
    <row r="5" spans="1:6" ht="14.1" customHeight="1" x14ac:dyDescent="0.3">
      <c r="A5" s="53" t="s">
        <v>97</v>
      </c>
      <c r="B5" s="113">
        <v>8267.3649999999998</v>
      </c>
      <c r="C5" s="69">
        <v>9088.9220000000005</v>
      </c>
      <c r="D5" s="69">
        <v>9405.8020000000015</v>
      </c>
      <c r="E5" s="69">
        <v>9691.7120000000014</v>
      </c>
      <c r="F5" s="69">
        <v>10363.313999999998</v>
      </c>
    </row>
    <row r="6" spans="1:6" ht="14.1" customHeight="1" x14ac:dyDescent="0.3">
      <c r="A6" s="53" t="s">
        <v>98</v>
      </c>
      <c r="B6" s="113">
        <v>1028.4170000000001</v>
      </c>
      <c r="C6" s="69">
        <v>1115.3810000000001</v>
      </c>
      <c r="D6" s="69">
        <v>1169.1869999999999</v>
      </c>
      <c r="E6" s="69">
        <v>1272.1850000000002</v>
      </c>
      <c r="F6" s="69">
        <v>1399.1599999999999</v>
      </c>
    </row>
    <row r="7" spans="1:6" ht="14.1" customHeight="1" x14ac:dyDescent="0.3">
      <c r="A7" s="6" t="s">
        <v>142</v>
      </c>
      <c r="B7" s="290">
        <f>IFERROR(12*B4/LEFT(B3,2)/B$5,0)</f>
        <v>6.3872830097618776E-3</v>
      </c>
      <c r="C7" s="291">
        <f>IFERROR(12*C4/LEFT(C3,2)/C$5,0)</f>
        <v>1.2702496511687525E-2</v>
      </c>
      <c r="D7" s="291">
        <f>IFERROR(12*D4/LEFT(D3,2)/D$5,0)</f>
        <v>1.4809476108470066E-2</v>
      </c>
      <c r="E7" s="291">
        <f>IFERROR(12*E4/LEFT(E3,2)/E$5,0)</f>
        <v>1.9529263766814367E-2</v>
      </c>
      <c r="F7" s="291">
        <f>IFERROR(12*F4/LEFT(F3,2)/F$5,0)</f>
        <v>2.3849513775226729E-2</v>
      </c>
    </row>
    <row r="8" spans="1:6" ht="14.1" customHeight="1" x14ac:dyDescent="0.3">
      <c r="A8" s="6" t="s">
        <v>143</v>
      </c>
      <c r="B8" s="290">
        <f>IFERROR(12*B4/LEFT(B3,2)/B$6,0)</f>
        <v>5.1346875829551629E-2</v>
      </c>
      <c r="C8" s="291">
        <f>IFERROR(12*C4/LEFT(C3,2)/C$6,0)</f>
        <v>0.10350902516718502</v>
      </c>
      <c r="D8" s="291">
        <f>IFERROR(12*D4/LEFT(D3,2)/D$6,0)</f>
        <v>0.11913834142870217</v>
      </c>
      <c r="E8" s="291">
        <f>IFERROR(12*E4/LEFT(E3,2)/E$6,0)</f>
        <v>0.14877710395893678</v>
      </c>
      <c r="F8" s="291">
        <f>IFERROR(12*F4/LEFT(F3,2)/F$6,0)</f>
        <v>0.17664884645072759</v>
      </c>
    </row>
    <row r="9" spans="1:6" ht="14.1" customHeight="1" x14ac:dyDescent="0.3">
      <c r="A9" s="53" t="s">
        <v>140</v>
      </c>
      <c r="B9" s="113">
        <v>235.94800000000001</v>
      </c>
      <c r="C9" s="69">
        <v>250.239</v>
      </c>
      <c r="D9" s="69">
        <v>279.22399999999999</v>
      </c>
      <c r="E9" s="69">
        <v>352.65199999999999</v>
      </c>
      <c r="F9" s="69">
        <v>389.50299999999999</v>
      </c>
    </row>
    <row r="10" spans="1:6" ht="14.1" customHeight="1" x14ac:dyDescent="0.3">
      <c r="A10" s="53" t="s">
        <v>391</v>
      </c>
      <c r="B10" s="113">
        <v>164.87200000000001</v>
      </c>
      <c r="C10" s="69">
        <v>189.98500000000001</v>
      </c>
      <c r="D10" s="69">
        <v>219.607</v>
      </c>
      <c r="E10" s="69">
        <v>240.75399999999999</v>
      </c>
      <c r="F10" s="69">
        <v>276.16399999999999</v>
      </c>
    </row>
    <row r="11" spans="1:6" ht="14.1" customHeight="1" x14ac:dyDescent="0.3">
      <c r="A11" s="53" t="s">
        <v>141</v>
      </c>
      <c r="B11" s="113">
        <v>35.28</v>
      </c>
      <c r="C11" s="69">
        <v>44.84</v>
      </c>
      <c r="D11" s="69">
        <v>51.668999999999997</v>
      </c>
      <c r="E11" s="69">
        <v>57.168999999999997</v>
      </c>
      <c r="F11" s="69">
        <v>60.158000000000001</v>
      </c>
    </row>
    <row r="12" spans="1:6" ht="14.1" customHeight="1" x14ac:dyDescent="0.3">
      <c r="A12" s="53" t="s">
        <v>110</v>
      </c>
      <c r="B12" s="113">
        <v>239.785</v>
      </c>
      <c r="C12" s="69">
        <v>245.71899999999999</v>
      </c>
      <c r="D12" s="69">
        <v>249.44300000000001</v>
      </c>
      <c r="E12" s="69">
        <v>280.10000000000002</v>
      </c>
      <c r="F12" s="69">
        <v>298.05500000000001</v>
      </c>
    </row>
    <row r="13" spans="1:6" ht="27" customHeight="1" x14ac:dyDescent="0.3">
      <c r="A13" s="53" t="s">
        <v>111</v>
      </c>
      <c r="B13" s="113">
        <f>B9+B10-B11</f>
        <v>365.54000000000008</v>
      </c>
      <c r="C13" s="69">
        <f>C9+C10-C11</f>
        <v>395.38400000000001</v>
      </c>
      <c r="D13" s="69">
        <f t="shared" ref="D13:E13" si="0">D9+D10-D11</f>
        <v>447.16200000000003</v>
      </c>
      <c r="E13" s="69">
        <f t="shared" si="0"/>
        <v>536.23699999999997</v>
      </c>
      <c r="F13" s="69">
        <f>F9+F10-F11</f>
        <v>605.5089999999999</v>
      </c>
    </row>
    <row r="14" spans="1:6" ht="14.1" customHeight="1" x14ac:dyDescent="0.3">
      <c r="A14" s="6" t="s">
        <v>112</v>
      </c>
      <c r="B14" s="290">
        <f>IFERROR(12*B9/LEFT(B3,2)/B$5,0)</f>
        <v>2.853968586121455E-2</v>
      </c>
      <c r="C14" s="291">
        <f>IFERROR(12*C9/LEFT(C3,2)/C$5,0)</f>
        <v>2.7532308011885238E-2</v>
      </c>
      <c r="D14" s="291">
        <f>IFERROR(12*D9/LEFT(D3,2)/D$5,0)</f>
        <v>2.9686357420664389E-2</v>
      </c>
      <c r="E14" s="291">
        <f>IFERROR(12*E9/LEFT(E3,2)/E$5,0)</f>
        <v>3.6386966513243475E-2</v>
      </c>
      <c r="F14" s="291">
        <f>IFERROR(12*F9/LEFT(F3,2)/F$5,0)</f>
        <v>3.7584791891860078E-2</v>
      </c>
    </row>
    <row r="15" spans="1:6" ht="14.1" customHeight="1" x14ac:dyDescent="0.3">
      <c r="A15" s="6" t="s">
        <v>113</v>
      </c>
      <c r="B15" s="290">
        <f>IFERROR(12*B10/LEFT(B3,2)/B$5,0)</f>
        <v>1.9942508888866044E-2</v>
      </c>
      <c r="C15" s="291">
        <f>IFERROR(12*C10/LEFT(C3,2)/C$5,0)</f>
        <v>2.0902918960026284E-2</v>
      </c>
      <c r="D15" s="291">
        <f>IFERROR(12*D10/LEFT(D3,2)/D$5,0)</f>
        <v>2.3348035606107802E-2</v>
      </c>
      <c r="E15" s="291">
        <f>IFERROR(12*E10/LEFT(E3,2)/E$5,0)</f>
        <v>2.4841225162282984E-2</v>
      </c>
      <c r="F15" s="291">
        <f>IFERROR(12*F10/LEFT(F3,2)/F$5,0)</f>
        <v>2.6648232409053708E-2</v>
      </c>
    </row>
    <row r="16" spans="1:6" ht="40.5" customHeight="1" thickBot="1" x14ac:dyDescent="0.35">
      <c r="A16" s="292" t="s">
        <v>114</v>
      </c>
      <c r="B16" s="293">
        <f>IF(B13&lt;&gt;0,B12/B13,0)</f>
        <v>0.65597472232860954</v>
      </c>
      <c r="C16" s="294">
        <f t="shared" ref="C16:E16" si="1">IF(C13&lt;&gt;0,C12/C13,0)</f>
        <v>0.62146925520506646</v>
      </c>
      <c r="D16" s="294">
        <f t="shared" si="1"/>
        <v>0.55783586261802209</v>
      </c>
      <c r="E16" s="294">
        <f t="shared" si="1"/>
        <v>0.52234366520773468</v>
      </c>
      <c r="F16" s="294">
        <f>IF(F13&lt;&gt;0,F12/F13,0)</f>
        <v>0.49223876110842291</v>
      </c>
    </row>
    <row r="17" spans="1:7" x14ac:dyDescent="0.3">
      <c r="A17" s="4"/>
      <c r="B17" s="4"/>
      <c r="C17" s="4"/>
      <c r="D17" s="4"/>
      <c r="E17" s="4"/>
      <c r="F17" s="4"/>
    </row>
    <row r="18" spans="1:7" x14ac:dyDescent="0.3">
      <c r="A18" t="s">
        <v>109</v>
      </c>
      <c r="C18" s="4"/>
      <c r="D18" s="4"/>
      <c r="E18" s="4"/>
      <c r="F18" s="4"/>
      <c r="G18" s="4"/>
    </row>
    <row r="21" spans="1:7" ht="14.1" customHeight="1" x14ac:dyDescent="0.3"/>
    <row r="22" spans="1:7" ht="14.1" customHeight="1" x14ac:dyDescent="0.3"/>
    <row r="23" spans="1:7" ht="14.1" customHeight="1" x14ac:dyDescent="0.3"/>
    <row r="24" spans="1:7" ht="14.1" customHeight="1" x14ac:dyDescent="0.3"/>
    <row r="25" spans="1:7" ht="14.1" customHeight="1" x14ac:dyDescent="0.3"/>
    <row r="26" spans="1:7" ht="14.1" customHeight="1" x14ac:dyDescent="0.3"/>
    <row r="27" spans="1:7" ht="14.1" customHeight="1" x14ac:dyDescent="0.3"/>
    <row r="28" spans="1:7" ht="14.1" customHeight="1" x14ac:dyDescent="0.3"/>
    <row r="29" spans="1:7" ht="14.1" customHeight="1" x14ac:dyDescent="0.3"/>
    <row r="30" spans="1:7" ht="27" customHeight="1" x14ac:dyDescent="0.3"/>
    <row r="31" spans="1:7" ht="14.1" customHeight="1" x14ac:dyDescent="0.3"/>
    <row r="32" spans="1:7" ht="14.1" customHeight="1" x14ac:dyDescent="0.3"/>
    <row r="33" ht="40.5" customHeight="1" x14ac:dyDescent="0.3"/>
    <row r="34" ht="45" customHeight="1" x14ac:dyDescent="0.3"/>
  </sheetData>
  <pageMargins left="0.7" right="0.7" top="0.75" bottom="0.75" header="0.3" footer="0.3"/>
  <pageSetup paperSize="9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112"/>
  <dimension ref="A1:FU53"/>
  <sheetViews>
    <sheetView showGridLines="0" topLeftCell="A3" zoomScaleNormal="100" workbookViewId="0">
      <selection activeCell="R18" sqref="R18"/>
    </sheetView>
  </sheetViews>
  <sheetFormatPr defaultColWidth="9.109375" defaultRowHeight="14.4" x14ac:dyDescent="0.3"/>
  <cols>
    <col min="1" max="1" width="26.88671875" style="35" customWidth="1"/>
    <col min="2" max="2" width="7.5546875" style="26" customWidth="1"/>
    <col min="3" max="3" width="6.33203125" style="26" customWidth="1"/>
    <col min="4" max="4" width="7.5546875" style="26" bestFit="1" customWidth="1"/>
    <col min="5" max="5" width="7.5546875" style="26" customWidth="1"/>
    <col min="6" max="6" width="6.33203125" style="26" customWidth="1"/>
    <col min="7" max="7" width="7.5546875" style="26" bestFit="1" customWidth="1"/>
    <col min="8" max="8" width="7.5546875" style="26" customWidth="1"/>
    <col min="9" max="9" width="6.33203125" style="26" customWidth="1"/>
    <col min="10" max="10" width="7.5546875" style="26" bestFit="1" customWidth="1"/>
    <col min="11" max="11" width="9.109375" style="26"/>
    <col min="12" max="14" width="5.77734375" style="26" customWidth="1"/>
    <col min="15" max="16384" width="9.109375" style="26"/>
  </cols>
  <sheetData>
    <row r="1" spans="1:177" ht="14.4" hidden="1" customHeight="1" x14ac:dyDescent="0.3">
      <c r="A1" s="88"/>
      <c r="B1" s="23"/>
      <c r="C1" s="23"/>
      <c r="D1" s="23"/>
      <c r="E1" s="23"/>
      <c r="F1" s="23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</row>
    <row r="2" spans="1:177" ht="14.4" hidden="1" customHeight="1" x14ac:dyDescent="0.3">
      <c r="A2" s="88"/>
      <c r="B2" s="23"/>
      <c r="C2" s="23"/>
      <c r="D2" s="23"/>
      <c r="E2" s="23"/>
      <c r="F2" s="23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</row>
    <row r="3" spans="1:177" x14ac:dyDescent="0.3"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</row>
    <row r="4" spans="1:177" x14ac:dyDescent="0.3">
      <c r="A4" s="166" t="s">
        <v>260</v>
      </c>
      <c r="B4" s="166"/>
      <c r="C4" s="166"/>
      <c r="D4" s="166"/>
      <c r="E4" s="166"/>
      <c r="F4" s="166"/>
      <c r="G4" s="166"/>
      <c r="H4" s="166"/>
      <c r="I4" s="166"/>
      <c r="J4" s="49" t="s">
        <v>310</v>
      </c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</row>
    <row r="5" spans="1:177" ht="14.4" customHeight="1" x14ac:dyDescent="0.3">
      <c r="A5" s="808" t="s">
        <v>333</v>
      </c>
      <c r="B5" s="805" t="s">
        <v>522</v>
      </c>
      <c r="C5" s="806"/>
      <c r="D5" s="807"/>
      <c r="E5" s="805" t="s">
        <v>551</v>
      </c>
      <c r="F5" s="806"/>
      <c r="G5" s="807"/>
      <c r="H5" s="805" t="s">
        <v>559</v>
      </c>
      <c r="I5" s="806"/>
      <c r="J5" s="806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</row>
    <row r="6" spans="1:177" ht="20.399999999999999" x14ac:dyDescent="0.3">
      <c r="A6" s="809"/>
      <c r="B6" s="163" t="s">
        <v>2</v>
      </c>
      <c r="C6" s="164" t="s">
        <v>151</v>
      </c>
      <c r="D6" s="167" t="s">
        <v>181</v>
      </c>
      <c r="E6" s="163" t="s">
        <v>2</v>
      </c>
      <c r="F6" s="164" t="s">
        <v>151</v>
      </c>
      <c r="G6" s="167" t="s">
        <v>181</v>
      </c>
      <c r="H6" s="165" t="s">
        <v>2</v>
      </c>
      <c r="I6" s="164" t="s">
        <v>151</v>
      </c>
      <c r="J6" s="164" t="s">
        <v>181</v>
      </c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</row>
    <row r="7" spans="1:177" x14ac:dyDescent="0.3">
      <c r="A7" s="739" t="s">
        <v>95</v>
      </c>
      <c r="B7" s="708">
        <f>B8+B17</f>
        <v>11153.470000000001</v>
      </c>
      <c r="C7" s="709">
        <f>C8+C17</f>
        <v>325.65799999999996</v>
      </c>
      <c r="D7" s="710">
        <f>IFERROR(C7*100/B7,0)</f>
        <v>2.9197908812235109</v>
      </c>
      <c r="E7" s="708">
        <f>E8+E17</f>
        <v>11568.786000000002</v>
      </c>
      <c r="F7" s="709">
        <f>F8+F17</f>
        <v>356.53399999999999</v>
      </c>
      <c r="G7" s="710">
        <f>IFERROR(F7*100/E7,0)</f>
        <v>3.0818618306190464</v>
      </c>
      <c r="H7" s="709">
        <f>H8+H17</f>
        <v>12582.934999999999</v>
      </c>
      <c r="I7" s="709">
        <f>I8+I17</f>
        <v>366.43400000000003</v>
      </c>
      <c r="J7" s="711">
        <f>IFERROR(I7*100/H7,0)</f>
        <v>2.9121504641007845</v>
      </c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</row>
    <row r="8" spans="1:177" x14ac:dyDescent="0.3">
      <c r="A8" s="740" t="s">
        <v>182</v>
      </c>
      <c r="B8" s="593">
        <f>+B9+B14+B15+B16</f>
        <v>9876.2360000000008</v>
      </c>
      <c r="C8" s="594">
        <f>SUM(C10:C16)</f>
        <v>312.87799999999999</v>
      </c>
      <c r="D8" s="596">
        <f>IFERROR(C8*100/B8,0)</f>
        <v>3.1679882902757686</v>
      </c>
      <c r="E8" s="593">
        <f>+E9+E14+E15+E16</f>
        <v>10175.613000000001</v>
      </c>
      <c r="F8" s="594">
        <f>SUM(F10:F16)</f>
        <v>339.57400000000001</v>
      </c>
      <c r="G8" s="596">
        <f>IFERROR(F8*100/E8,0)</f>
        <v>3.3371355612679059</v>
      </c>
      <c r="H8" s="712">
        <f>+H9+H14+H15+H16</f>
        <v>11006.373</v>
      </c>
      <c r="I8" s="594">
        <f>SUM(I10:I16)</f>
        <v>349.52500000000003</v>
      </c>
      <c r="J8" s="595">
        <f>IFERROR(I8*100/H8,0)</f>
        <v>3.1756601379945963</v>
      </c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</row>
    <row r="9" spans="1:177" ht="24" x14ac:dyDescent="0.3">
      <c r="A9" s="741" t="s">
        <v>183</v>
      </c>
      <c r="B9" s="597">
        <f>+B10+B11+B12+B13</f>
        <v>8583.7250000000004</v>
      </c>
      <c r="C9" s="598">
        <f>+C10+C11+C12+C13</f>
        <v>305.06700000000001</v>
      </c>
      <c r="D9" s="600">
        <f>IFERROR(C9*100/B9,0)</f>
        <v>3.5540164672097485</v>
      </c>
      <c r="E9" s="597">
        <f>+E10+E11+E12+E13</f>
        <v>9102.848</v>
      </c>
      <c r="F9" s="598">
        <f>+F10+F11+F12+F13</f>
        <v>330.25600000000003</v>
      </c>
      <c r="G9" s="600">
        <f>IFERROR(F9*100/E9,0)</f>
        <v>3.6280513527195013</v>
      </c>
      <c r="H9" s="713">
        <f>+H10+H11+H12+H13</f>
        <v>10092.853000000001</v>
      </c>
      <c r="I9" s="598">
        <f>+I10+I11+I12+I13</f>
        <v>338.88300000000004</v>
      </c>
      <c r="J9" s="599">
        <f>IFERROR(I9*100/H9,0)</f>
        <v>3.3576531829008109</v>
      </c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</row>
    <row r="10" spans="1:177" ht="24.75" customHeight="1" x14ac:dyDescent="0.3">
      <c r="A10" s="742" t="s">
        <v>306</v>
      </c>
      <c r="B10" s="714">
        <v>2677.0540000000001</v>
      </c>
      <c r="C10" s="715">
        <v>5.9589999999999996</v>
      </c>
      <c r="D10" s="716">
        <f>IFERROR(C10*100/B10,0)</f>
        <v>0.22259543513130478</v>
      </c>
      <c r="E10" s="714">
        <v>2588.8939999999998</v>
      </c>
      <c r="F10" s="715">
        <v>6.5439999999999996</v>
      </c>
      <c r="G10" s="716">
        <f>IFERROR(F10*100/E10,0)</f>
        <v>0.25277203315392599</v>
      </c>
      <c r="H10" s="717">
        <v>2807.5509999999999</v>
      </c>
      <c r="I10" s="715">
        <v>4.665</v>
      </c>
      <c r="J10" s="718">
        <f>IFERROR(I10*100/H10,0)</f>
        <v>0.1661590475115145</v>
      </c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</row>
    <row r="11" spans="1:177" x14ac:dyDescent="0.3">
      <c r="A11" s="742" t="s">
        <v>184</v>
      </c>
      <c r="B11" s="714">
        <v>86.38</v>
      </c>
      <c r="C11" s="715">
        <v>8.6999999999999994E-2</v>
      </c>
      <c r="D11" s="716">
        <f t="shared" ref="D11:D12" si="0">IFERROR(C11*100/B11,0)</f>
        <v>0.10071775874044918</v>
      </c>
      <c r="E11" s="714">
        <v>426.61700000000002</v>
      </c>
      <c r="F11" s="715">
        <v>2.7650000000000001</v>
      </c>
      <c r="G11" s="716">
        <f t="shared" ref="G11:G13" si="1">IFERROR(F11*100/E11,0)</f>
        <v>0.64812232048886942</v>
      </c>
      <c r="H11" s="717">
        <v>554.27099999999996</v>
      </c>
      <c r="I11" s="715">
        <v>0.76300000000000001</v>
      </c>
      <c r="J11" s="718">
        <f t="shared" ref="J11:J13" si="2">IFERROR(I11*100/H11,0)</f>
        <v>0.13765829350624514</v>
      </c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</row>
    <row r="12" spans="1:177" x14ac:dyDescent="0.3">
      <c r="A12" s="742" t="s">
        <v>185</v>
      </c>
      <c r="B12" s="714">
        <v>5792.9089999999997</v>
      </c>
      <c r="C12" s="715">
        <v>292.447</v>
      </c>
      <c r="D12" s="716">
        <f t="shared" si="0"/>
        <v>5.0483617125696263</v>
      </c>
      <c r="E12" s="714">
        <v>6056.5429999999997</v>
      </c>
      <c r="F12" s="715">
        <v>314.91500000000002</v>
      </c>
      <c r="G12" s="716">
        <f t="shared" si="1"/>
        <v>5.1995833266601101</v>
      </c>
      <c r="H12" s="717">
        <v>6695.1629999999996</v>
      </c>
      <c r="I12" s="715">
        <v>327.17200000000003</v>
      </c>
      <c r="J12" s="718">
        <f t="shared" si="2"/>
        <v>4.8866920790427368</v>
      </c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</row>
    <row r="13" spans="1:177" x14ac:dyDescent="0.3">
      <c r="A13" s="742" t="s">
        <v>186</v>
      </c>
      <c r="B13" s="714">
        <v>27.382000000000001</v>
      </c>
      <c r="C13" s="715">
        <v>6.5739999999999998</v>
      </c>
      <c r="D13" s="716">
        <f>IFERROR(C13*100/B13,0)</f>
        <v>24.008472719304649</v>
      </c>
      <c r="E13" s="714">
        <v>30.794</v>
      </c>
      <c r="F13" s="715">
        <v>6.032</v>
      </c>
      <c r="G13" s="716">
        <f t="shared" si="1"/>
        <v>19.588231473663701</v>
      </c>
      <c r="H13" s="717">
        <v>35.868000000000002</v>
      </c>
      <c r="I13" s="715">
        <v>6.2830000000000004</v>
      </c>
      <c r="J13" s="718">
        <f t="shared" si="2"/>
        <v>17.517006802721088</v>
      </c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</row>
    <row r="14" spans="1:177" s="117" customFormat="1" ht="24" x14ac:dyDescent="0.3">
      <c r="A14" s="741" t="s">
        <v>187</v>
      </c>
      <c r="B14" s="597">
        <v>12.888999999999999</v>
      </c>
      <c r="C14" s="598">
        <v>0</v>
      </c>
      <c r="D14" s="600"/>
      <c r="E14" s="597">
        <v>15.218</v>
      </c>
      <c r="F14" s="598">
        <v>0</v>
      </c>
      <c r="G14" s="600"/>
      <c r="H14" s="713">
        <v>19.768000000000001</v>
      </c>
      <c r="I14" s="598">
        <v>0</v>
      </c>
      <c r="J14" s="599"/>
      <c r="K14" s="118"/>
      <c r="L14" s="118"/>
      <c r="M14" s="118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</row>
    <row r="15" spans="1:177" s="117" customFormat="1" ht="36" x14ac:dyDescent="0.3">
      <c r="A15" s="741" t="s">
        <v>376</v>
      </c>
      <c r="B15" s="597">
        <v>1198.6189999999999</v>
      </c>
      <c r="C15" s="598">
        <v>0</v>
      </c>
      <c r="D15" s="600"/>
      <c r="E15" s="597">
        <v>967.44899999999996</v>
      </c>
      <c r="F15" s="598">
        <v>0</v>
      </c>
      <c r="G15" s="600"/>
      <c r="H15" s="713">
        <v>773.83600000000001</v>
      </c>
      <c r="I15" s="598">
        <v>0</v>
      </c>
      <c r="J15" s="599"/>
      <c r="K15" s="26"/>
      <c r="L15" s="26"/>
      <c r="M15" s="26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</row>
    <row r="16" spans="1:177" s="117" customFormat="1" x14ac:dyDescent="0.3">
      <c r="A16" s="743" t="s">
        <v>188</v>
      </c>
      <c r="B16" s="719">
        <v>81.003</v>
      </c>
      <c r="C16" s="720">
        <v>7.8109999999999999</v>
      </c>
      <c r="D16" s="721">
        <f>IFERROR(C16*100/B16,0)</f>
        <v>9.642852733849363</v>
      </c>
      <c r="E16" s="719">
        <v>90.097999999999999</v>
      </c>
      <c r="F16" s="720">
        <v>9.3179999999999996</v>
      </c>
      <c r="G16" s="721">
        <f>IFERROR(F16*100/E16,0)</f>
        <v>10.342071966081377</v>
      </c>
      <c r="H16" s="722">
        <v>119.916</v>
      </c>
      <c r="I16" s="720">
        <v>10.641999999999999</v>
      </c>
      <c r="J16" s="723">
        <f>IFERROR(I16*100/H16,0)</f>
        <v>8.8745455151939705</v>
      </c>
      <c r="K16" s="26"/>
      <c r="L16" s="26"/>
      <c r="M16" s="2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</row>
    <row r="17" spans="1:177" x14ac:dyDescent="0.3">
      <c r="A17" s="744" t="s">
        <v>189</v>
      </c>
      <c r="B17" s="724">
        <f>SUM(B18:B21)</f>
        <v>1277.2340000000002</v>
      </c>
      <c r="C17" s="725">
        <f>SUM(C18:C21)</f>
        <v>12.78</v>
      </c>
      <c r="D17" s="726">
        <f>IFERROR(C17*100/B17,0)</f>
        <v>1.000599733486581</v>
      </c>
      <c r="E17" s="724">
        <f t="shared" ref="E17:I17" si="3">SUM(E18:E21)</f>
        <v>1393.173</v>
      </c>
      <c r="F17" s="725">
        <f t="shared" si="3"/>
        <v>16.96</v>
      </c>
      <c r="G17" s="726">
        <f>IFERROR(F17*100/E17,0)</f>
        <v>1.2173649647244096</v>
      </c>
      <c r="H17" s="727">
        <f t="shared" si="3"/>
        <v>1576.5619999999999</v>
      </c>
      <c r="I17" s="725">
        <f t="shared" si="3"/>
        <v>16.908999999999999</v>
      </c>
      <c r="J17" s="728">
        <f>IFERROR(I17*100/H17,0)</f>
        <v>1.0725236305327668</v>
      </c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</row>
    <row r="18" spans="1:177" x14ac:dyDescent="0.3">
      <c r="A18" s="741" t="s">
        <v>190</v>
      </c>
      <c r="B18" s="729">
        <v>641.54700000000003</v>
      </c>
      <c r="C18" s="730">
        <v>6.319</v>
      </c>
      <c r="D18" s="600">
        <f>IFERROR(C18*100/B18,0)</f>
        <v>0.98496290996606628</v>
      </c>
      <c r="E18" s="729">
        <v>731.96500000000003</v>
      </c>
      <c r="F18" s="730">
        <v>9.8960000000000008</v>
      </c>
      <c r="G18" s="600">
        <f>IFERROR(F18*100/E18,0)</f>
        <v>1.3519772120251652</v>
      </c>
      <c r="H18" s="731">
        <v>771.49699999999996</v>
      </c>
      <c r="I18" s="730">
        <v>9.1159999999999997</v>
      </c>
      <c r="J18" s="599">
        <f>IFERROR(I18*100/H18,0)</f>
        <v>1.1815988915057349</v>
      </c>
      <c r="K18" s="32"/>
      <c r="L18" s="32"/>
      <c r="M18" s="32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</row>
    <row r="19" spans="1:177" ht="15" customHeight="1" x14ac:dyDescent="0.3">
      <c r="A19" s="741" t="s">
        <v>191</v>
      </c>
      <c r="B19" s="729">
        <v>0.75700000000000001</v>
      </c>
      <c r="C19" s="730">
        <v>4.0000000000000001E-3</v>
      </c>
      <c r="D19" s="600">
        <f t="shared" ref="D19:D21" si="4">IFERROR(C19*100/B19,0)</f>
        <v>0.52840158520475566</v>
      </c>
      <c r="E19" s="729">
        <v>0.875</v>
      </c>
      <c r="F19" s="730">
        <v>6.0000000000000001E-3</v>
      </c>
      <c r="G19" s="600">
        <f t="shared" ref="G19:G21" si="5">IFERROR(F19*100/E19,0)</f>
        <v>0.68571428571428572</v>
      </c>
      <c r="H19" s="731">
        <v>26.074999999999999</v>
      </c>
      <c r="I19" s="730">
        <v>0.50800000000000001</v>
      </c>
      <c r="J19" s="599">
        <f t="shared" ref="J19:J21" si="6">IFERROR(I19*100/H19,0)</f>
        <v>1.9482262703739213</v>
      </c>
      <c r="K19" s="32"/>
      <c r="L19" s="32"/>
      <c r="M19" s="32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</row>
    <row r="20" spans="1:177" ht="24" x14ac:dyDescent="0.3">
      <c r="A20" s="745" t="s">
        <v>192</v>
      </c>
      <c r="B20" s="732">
        <v>634.23199999999997</v>
      </c>
      <c r="C20" s="733">
        <v>6.4509999999999996</v>
      </c>
      <c r="D20" s="600">
        <f t="shared" si="4"/>
        <v>1.0171356853643461</v>
      </c>
      <c r="E20" s="732">
        <v>660.00400000000002</v>
      </c>
      <c r="F20" s="733">
        <v>7.056</v>
      </c>
      <c r="G20" s="600">
        <f t="shared" si="5"/>
        <v>1.0690844297913347</v>
      </c>
      <c r="H20" s="734">
        <v>778.70899999999995</v>
      </c>
      <c r="I20" s="733">
        <v>7.2839999999999998</v>
      </c>
      <c r="J20" s="599">
        <f t="shared" si="6"/>
        <v>0.93539435142010685</v>
      </c>
      <c r="K20" s="32"/>
      <c r="L20" s="32"/>
      <c r="M20" s="32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</row>
    <row r="21" spans="1:177" ht="24.6" thickBot="1" x14ac:dyDescent="0.35">
      <c r="A21" s="746" t="s">
        <v>193</v>
      </c>
      <c r="B21" s="735">
        <v>0.69799999999999995</v>
      </c>
      <c r="C21" s="736">
        <v>6.0000000000000001E-3</v>
      </c>
      <c r="D21" s="600">
        <f t="shared" si="4"/>
        <v>0.8595988538681949</v>
      </c>
      <c r="E21" s="735">
        <v>0.32900000000000001</v>
      </c>
      <c r="F21" s="736">
        <v>2E-3</v>
      </c>
      <c r="G21" s="600">
        <f t="shared" si="5"/>
        <v>0.60790273556231</v>
      </c>
      <c r="H21" s="737">
        <v>0.28100000000000003</v>
      </c>
      <c r="I21" s="736">
        <v>1E-3</v>
      </c>
      <c r="J21" s="738">
        <f t="shared" si="6"/>
        <v>0.35587188612099641</v>
      </c>
      <c r="K21" s="32"/>
      <c r="L21" s="32"/>
      <c r="M21" s="32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</row>
    <row r="22" spans="1:177" ht="19.5" customHeight="1" x14ac:dyDescent="0.3">
      <c r="A22" s="804" t="s">
        <v>377</v>
      </c>
      <c r="B22" s="804"/>
      <c r="C22" s="804"/>
      <c r="D22" s="804"/>
      <c r="E22" s="804"/>
      <c r="F22" s="804"/>
      <c r="G22" s="804"/>
      <c r="H22" s="804"/>
      <c r="I22" s="804"/>
      <c r="J22" s="804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</row>
    <row r="24" spans="1:177" x14ac:dyDescent="0.3">
      <c r="N24" s="30"/>
    </row>
    <row r="25" spans="1:177" x14ac:dyDescent="0.3">
      <c r="N25" s="27"/>
    </row>
    <row r="26" spans="1:177" x14ac:dyDescent="0.3">
      <c r="N26" s="27"/>
    </row>
    <row r="27" spans="1:177" x14ac:dyDescent="0.3">
      <c r="N27" s="27"/>
    </row>
    <row r="28" spans="1:177" x14ac:dyDescent="0.3">
      <c r="N28" s="27"/>
    </row>
    <row r="29" spans="1:177" x14ac:dyDescent="0.3">
      <c r="N29" s="27"/>
    </row>
    <row r="30" spans="1:177" x14ac:dyDescent="0.3">
      <c r="N30" s="27"/>
    </row>
    <row r="31" spans="1:177" x14ac:dyDescent="0.3">
      <c r="N31" s="27"/>
    </row>
    <row r="32" spans="1:177" x14ac:dyDescent="0.3">
      <c r="N32" s="27"/>
    </row>
    <row r="33" spans="14:14" x14ac:dyDescent="0.3">
      <c r="N33" s="27"/>
    </row>
    <row r="34" spans="14:14" x14ac:dyDescent="0.3">
      <c r="N34" s="27"/>
    </row>
    <row r="35" spans="14:14" x14ac:dyDescent="0.3">
      <c r="N35" s="27"/>
    </row>
    <row r="36" spans="14:14" x14ac:dyDescent="0.3">
      <c r="N36" s="27"/>
    </row>
    <row r="37" spans="14:14" x14ac:dyDescent="0.3">
      <c r="N37" s="27"/>
    </row>
    <row r="38" spans="14:14" x14ac:dyDescent="0.3">
      <c r="N38" s="27"/>
    </row>
    <row r="39" spans="14:14" x14ac:dyDescent="0.3">
      <c r="N39" s="27"/>
    </row>
    <row r="40" spans="14:14" x14ac:dyDescent="0.3">
      <c r="N40" s="27"/>
    </row>
    <row r="41" spans="14:14" x14ac:dyDescent="0.3">
      <c r="N41" s="27"/>
    </row>
    <row r="42" spans="14:14" x14ac:dyDescent="0.3">
      <c r="N42" s="27"/>
    </row>
    <row r="43" spans="14:14" x14ac:dyDescent="0.3">
      <c r="N43" s="27"/>
    </row>
    <row r="44" spans="14:14" x14ac:dyDescent="0.3">
      <c r="N44" s="27"/>
    </row>
    <row r="45" spans="14:14" x14ac:dyDescent="0.3">
      <c r="N45" s="27"/>
    </row>
    <row r="46" spans="14:14" x14ac:dyDescent="0.3">
      <c r="N46" s="27"/>
    </row>
    <row r="47" spans="14:14" x14ac:dyDescent="0.3">
      <c r="N47" s="27"/>
    </row>
    <row r="48" spans="14:14" x14ac:dyDescent="0.3">
      <c r="N48" s="27"/>
    </row>
    <row r="49" spans="14:14" x14ac:dyDescent="0.3">
      <c r="N49" s="27"/>
    </row>
    <row r="50" spans="14:14" x14ac:dyDescent="0.3">
      <c r="N50" s="27"/>
    </row>
    <row r="51" spans="14:14" x14ac:dyDescent="0.3">
      <c r="N51" s="27"/>
    </row>
    <row r="52" spans="14:14" x14ac:dyDescent="0.3">
      <c r="N52" s="27"/>
    </row>
    <row r="53" spans="14:14" x14ac:dyDescent="0.3">
      <c r="N53" s="27"/>
    </row>
  </sheetData>
  <mergeCells count="5">
    <mergeCell ref="A22:J22"/>
    <mergeCell ref="B5:D5"/>
    <mergeCell ref="E5:G5"/>
    <mergeCell ref="H5:J5"/>
    <mergeCell ref="A5:A6"/>
  </mergeCells>
  <pageMargins left="0.7" right="0.7" top="0.75" bottom="0.75" header="0.3" footer="0.3"/>
  <pageSetup paperSize="9" scale="87" orientation="portrait" r:id="rId1"/>
  <ignoredErrors>
    <ignoredError sqref="E7:F8 G7:G9 D7:D9 D17 G17" formula="1"/>
    <ignoredError sqref="H7:I8 E9:F9 H9:I9 H17:I17 E17:F17" evalError="1" formula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116"/>
  <dimension ref="A1:FU21"/>
  <sheetViews>
    <sheetView showGridLines="0" topLeftCell="A3" zoomScaleNormal="100" workbookViewId="0">
      <selection activeCell="P24" sqref="P24"/>
    </sheetView>
  </sheetViews>
  <sheetFormatPr defaultColWidth="9.109375" defaultRowHeight="14.4" x14ac:dyDescent="0.3"/>
  <cols>
    <col min="1" max="1" width="20.5546875" style="35" customWidth="1"/>
    <col min="2" max="2" width="7.6640625" style="26" customWidth="1"/>
    <col min="3" max="3" width="7.44140625" style="26" customWidth="1"/>
    <col min="4" max="4" width="7.109375" style="26" customWidth="1"/>
    <col min="5" max="5" width="7.6640625" style="26" customWidth="1"/>
    <col min="6" max="6" width="7.44140625" style="26" customWidth="1"/>
    <col min="7" max="7" width="7.109375" style="26" customWidth="1"/>
    <col min="8" max="8" width="7.6640625" style="26" customWidth="1"/>
    <col min="9" max="9" width="7.44140625" style="26" customWidth="1"/>
    <col min="10" max="10" width="7.33203125" style="26" customWidth="1"/>
    <col min="11" max="11" width="9.109375" style="26"/>
    <col min="12" max="14" width="5.77734375" style="26" customWidth="1"/>
    <col min="15" max="16384" width="9.109375" style="26"/>
  </cols>
  <sheetData>
    <row r="1" spans="1:177" ht="14.4" hidden="1" customHeight="1" thickBot="1" x14ac:dyDescent="0.35">
      <c r="A1" s="88"/>
      <c r="B1" s="23"/>
      <c r="C1" s="23"/>
      <c r="D1" s="23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</row>
    <row r="2" spans="1:177" ht="14.4" hidden="1" customHeight="1" x14ac:dyDescent="0.3">
      <c r="A2" s="88"/>
      <c r="B2" s="23"/>
      <c r="C2" s="23"/>
      <c r="D2" s="23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</row>
    <row r="3" spans="1:177" x14ac:dyDescent="0.3"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</row>
    <row r="4" spans="1:177" x14ac:dyDescent="0.3">
      <c r="A4" s="166" t="s">
        <v>261</v>
      </c>
      <c r="B4" s="166"/>
      <c r="C4" s="166"/>
      <c r="D4" s="166"/>
      <c r="E4" s="166"/>
      <c r="F4" s="166"/>
      <c r="G4" s="166"/>
      <c r="H4" s="166"/>
      <c r="I4" s="166"/>
      <c r="J4" s="49" t="s">
        <v>310</v>
      </c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</row>
    <row r="5" spans="1:177" ht="14.4" customHeight="1" x14ac:dyDescent="0.3">
      <c r="A5" s="816" t="s">
        <v>333</v>
      </c>
      <c r="B5" s="812" t="s">
        <v>522</v>
      </c>
      <c r="C5" s="813"/>
      <c r="D5" s="813"/>
      <c r="E5" s="812" t="s">
        <v>551</v>
      </c>
      <c r="F5" s="813"/>
      <c r="G5" s="814"/>
      <c r="H5" s="815" t="s">
        <v>559</v>
      </c>
      <c r="I5" s="813"/>
      <c r="J5" s="813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</row>
    <row r="6" spans="1:177" ht="20.399999999999999" x14ac:dyDescent="0.3">
      <c r="A6" s="817"/>
      <c r="B6" s="163" t="s">
        <v>2</v>
      </c>
      <c r="C6" s="164" t="s">
        <v>151</v>
      </c>
      <c r="D6" s="164" t="s">
        <v>181</v>
      </c>
      <c r="E6" s="163" t="s">
        <v>2</v>
      </c>
      <c r="F6" s="164" t="s">
        <v>151</v>
      </c>
      <c r="G6" s="167" t="s">
        <v>181</v>
      </c>
      <c r="H6" s="165" t="s">
        <v>2</v>
      </c>
      <c r="I6" s="164" t="s">
        <v>151</v>
      </c>
      <c r="J6" s="164" t="s">
        <v>181</v>
      </c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</row>
    <row r="7" spans="1:177" x14ac:dyDescent="0.3">
      <c r="A7" s="592" t="s">
        <v>95</v>
      </c>
      <c r="B7" s="593">
        <f>+B11+B15</f>
        <v>11153.47</v>
      </c>
      <c r="C7" s="594">
        <f>C11+C15</f>
        <v>325.65999999999997</v>
      </c>
      <c r="D7" s="595">
        <f t="shared" ref="D7:D18" si="0">IFERROR(C7*100/B7,0)</f>
        <v>2.9198088128627231</v>
      </c>
      <c r="E7" s="593">
        <f>E11+E15</f>
        <v>11568.786</v>
      </c>
      <c r="F7" s="594">
        <f>F11+F15</f>
        <v>356.53199999999998</v>
      </c>
      <c r="G7" s="596">
        <f t="shared" ref="G7:G18" si="1">IFERROR(F7*100/E7,0)</f>
        <v>3.0818445427203853</v>
      </c>
      <c r="H7" s="594">
        <f>H11+H15</f>
        <v>12582.933999999999</v>
      </c>
      <c r="I7" s="594">
        <f>I11+I15</f>
        <v>366.43399999999997</v>
      </c>
      <c r="J7" s="595">
        <f t="shared" ref="J7:J18" si="2">IFERROR(I7*100/H7,0)</f>
        <v>2.9121506955373047</v>
      </c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</row>
    <row r="8" spans="1:177" ht="15" customHeight="1" x14ac:dyDescent="0.3">
      <c r="A8" s="562" t="s">
        <v>194</v>
      </c>
      <c r="B8" s="597">
        <f t="shared" ref="B8:B10" si="3">+B12+B16</f>
        <v>10222.572</v>
      </c>
      <c r="C8" s="598">
        <f t="shared" ref="C8:C10" si="4">C12+C16</f>
        <v>76.516999999999996</v>
      </c>
      <c r="D8" s="599">
        <f t="shared" si="0"/>
        <v>0.7485102574968413</v>
      </c>
      <c r="E8" s="597">
        <f t="shared" ref="E8:E10" si="5">+E12+E16</f>
        <v>10501.447</v>
      </c>
      <c r="F8" s="598">
        <f t="shared" ref="F8:F10" si="6">F12+F16</f>
        <v>84.566000000000003</v>
      </c>
      <c r="G8" s="600">
        <f t="shared" si="1"/>
        <v>0.80527950100590906</v>
      </c>
      <c r="H8" s="598">
        <f t="shared" ref="H8:H10" si="7">+H12+H16</f>
        <v>11473.602999999999</v>
      </c>
      <c r="I8" s="598">
        <f t="shared" ref="I8:I10" si="8">I12+I16</f>
        <v>85.507000000000005</v>
      </c>
      <c r="J8" s="599">
        <f t="shared" si="2"/>
        <v>0.74524977027704387</v>
      </c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</row>
    <row r="9" spans="1:177" ht="15" customHeight="1" x14ac:dyDescent="0.3">
      <c r="A9" s="562" t="s">
        <v>195</v>
      </c>
      <c r="B9" s="597">
        <f t="shared" si="3"/>
        <v>700.12999999999988</v>
      </c>
      <c r="C9" s="598">
        <f t="shared" si="4"/>
        <v>76.947999999999993</v>
      </c>
      <c r="D9" s="599">
        <f t="shared" si="0"/>
        <v>10.990530330081556</v>
      </c>
      <c r="E9" s="597">
        <f t="shared" si="5"/>
        <v>826.29399999999998</v>
      </c>
      <c r="F9" s="598">
        <f t="shared" si="6"/>
        <v>88.549000000000007</v>
      </c>
      <c r="G9" s="600">
        <f t="shared" si="1"/>
        <v>10.716403604528173</v>
      </c>
      <c r="H9" s="598">
        <f t="shared" si="7"/>
        <v>832.95100000000002</v>
      </c>
      <c r="I9" s="598">
        <f t="shared" si="8"/>
        <v>84.361000000000004</v>
      </c>
      <c r="J9" s="599">
        <f t="shared" si="2"/>
        <v>10.127966711127065</v>
      </c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</row>
    <row r="10" spans="1:177" ht="15" customHeight="1" x14ac:dyDescent="0.3">
      <c r="A10" s="601" t="s">
        <v>196</v>
      </c>
      <c r="B10" s="602">
        <f t="shared" si="3"/>
        <v>230.768</v>
      </c>
      <c r="C10" s="603">
        <f t="shared" si="4"/>
        <v>172.19499999999999</v>
      </c>
      <c r="D10" s="599">
        <f t="shared" si="0"/>
        <v>74.618231297233578</v>
      </c>
      <c r="E10" s="602">
        <f t="shared" si="5"/>
        <v>241.04500000000002</v>
      </c>
      <c r="F10" s="603">
        <f t="shared" si="6"/>
        <v>183.417</v>
      </c>
      <c r="G10" s="600">
        <f t="shared" si="1"/>
        <v>76.092430873903211</v>
      </c>
      <c r="H10" s="603">
        <f t="shared" si="7"/>
        <v>276.38</v>
      </c>
      <c r="I10" s="603">
        <f t="shared" si="8"/>
        <v>196.566</v>
      </c>
      <c r="J10" s="599">
        <f t="shared" si="2"/>
        <v>71.12164411317751</v>
      </c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</row>
    <row r="11" spans="1:177" ht="15" customHeight="1" x14ac:dyDescent="0.3">
      <c r="A11" s="604" t="s">
        <v>182</v>
      </c>
      <c r="B11" s="593">
        <f>SUM(B12:B14)</f>
        <v>9876.235999999999</v>
      </c>
      <c r="C11" s="594">
        <f>SUM(C12:C14)</f>
        <v>312.87799999999999</v>
      </c>
      <c r="D11" s="595">
        <f t="shared" si="0"/>
        <v>3.1679882902757694</v>
      </c>
      <c r="E11" s="593">
        <f>SUM(E12:E14)</f>
        <v>10175.611999999999</v>
      </c>
      <c r="F11" s="594">
        <f>SUM(F12:F14)</f>
        <v>339.57399999999996</v>
      </c>
      <c r="G11" s="596">
        <f t="shared" si="1"/>
        <v>3.337135889222191</v>
      </c>
      <c r="H11" s="594">
        <f>SUM(H12:H14)</f>
        <v>11006.371999999999</v>
      </c>
      <c r="I11" s="594">
        <f>SUM(I12:I14)</f>
        <v>349.52499999999998</v>
      </c>
      <c r="J11" s="595">
        <f t="shared" si="2"/>
        <v>3.1756604265238355</v>
      </c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</row>
    <row r="12" spans="1:177" ht="15" customHeight="1" x14ac:dyDescent="0.3">
      <c r="A12" s="605" t="s">
        <v>194</v>
      </c>
      <c r="B12" s="597">
        <v>9037.7369999999992</v>
      </c>
      <c r="C12" s="598">
        <v>68.369</v>
      </c>
      <c r="D12" s="599">
        <f t="shared" si="0"/>
        <v>0.75648361973799416</v>
      </c>
      <c r="E12" s="597">
        <v>9239.5859999999993</v>
      </c>
      <c r="F12" s="598">
        <v>76.266000000000005</v>
      </c>
      <c r="G12" s="600">
        <f t="shared" si="1"/>
        <v>0.82542659378894256</v>
      </c>
      <c r="H12" s="606">
        <v>10002.715</v>
      </c>
      <c r="I12" s="598">
        <v>76.712000000000003</v>
      </c>
      <c r="J12" s="599">
        <f t="shared" si="2"/>
        <v>0.76691178345079314</v>
      </c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</row>
    <row r="13" spans="1:177" ht="15" customHeight="1" x14ac:dyDescent="0.3">
      <c r="A13" s="605" t="s">
        <v>195</v>
      </c>
      <c r="B13" s="597">
        <v>608.76199999999994</v>
      </c>
      <c r="C13" s="598">
        <v>72.599999999999994</v>
      </c>
      <c r="D13" s="599">
        <f t="shared" si="0"/>
        <v>11.925842940262369</v>
      </c>
      <c r="E13" s="597">
        <v>697.125</v>
      </c>
      <c r="F13" s="598">
        <v>80.304000000000002</v>
      </c>
      <c r="G13" s="600">
        <f t="shared" si="1"/>
        <v>11.519311457772996</v>
      </c>
      <c r="H13" s="598">
        <v>737.90899999999999</v>
      </c>
      <c r="I13" s="598">
        <v>80.12</v>
      </c>
      <c r="J13" s="599">
        <f t="shared" si="2"/>
        <v>10.857707386683183</v>
      </c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</row>
    <row r="14" spans="1:177" ht="15" customHeight="1" x14ac:dyDescent="0.3">
      <c r="A14" s="607" t="s">
        <v>196</v>
      </c>
      <c r="B14" s="608">
        <v>229.73699999999999</v>
      </c>
      <c r="C14" s="609">
        <v>171.90899999999999</v>
      </c>
      <c r="D14" s="599">
        <f t="shared" si="0"/>
        <v>74.828608365217605</v>
      </c>
      <c r="E14" s="608">
        <v>238.90100000000001</v>
      </c>
      <c r="F14" s="609">
        <v>183.00399999999999</v>
      </c>
      <c r="G14" s="600">
        <f t="shared" si="1"/>
        <v>76.602442015730347</v>
      </c>
      <c r="H14" s="609">
        <v>265.74799999999999</v>
      </c>
      <c r="I14" s="609">
        <v>192.69300000000001</v>
      </c>
      <c r="J14" s="599">
        <f t="shared" si="2"/>
        <v>72.509670815961002</v>
      </c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</row>
    <row r="15" spans="1:177" ht="15" customHeight="1" x14ac:dyDescent="0.3">
      <c r="A15" s="610" t="s">
        <v>189</v>
      </c>
      <c r="B15" s="593">
        <f>SUM(B16:B18)</f>
        <v>1277.2339999999999</v>
      </c>
      <c r="C15" s="594">
        <f>SUM(C16:C18)</f>
        <v>12.781999999999998</v>
      </c>
      <c r="D15" s="595">
        <f t="shared" si="0"/>
        <v>1.0007563218642785</v>
      </c>
      <c r="E15" s="593">
        <f>SUM(E16:E18)</f>
        <v>1393.1740000000002</v>
      </c>
      <c r="F15" s="594">
        <f>SUM(F16:F18)</f>
        <v>16.958000000000002</v>
      </c>
      <c r="G15" s="596">
        <f t="shared" si="1"/>
        <v>1.2172205338313806</v>
      </c>
      <c r="H15" s="594">
        <f>SUM(H16:H18)</f>
        <v>1576.5619999999999</v>
      </c>
      <c r="I15" s="594">
        <f>SUM(I16:I18)</f>
        <v>16.908999999999999</v>
      </c>
      <c r="J15" s="595">
        <f t="shared" si="2"/>
        <v>1.0725236305327668</v>
      </c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</row>
    <row r="16" spans="1:177" ht="15" customHeight="1" x14ac:dyDescent="0.3">
      <c r="A16" s="562" t="s">
        <v>194</v>
      </c>
      <c r="B16" s="597">
        <v>1184.835</v>
      </c>
      <c r="C16" s="598">
        <v>8.1479999999999997</v>
      </c>
      <c r="D16" s="599">
        <f t="shared" si="0"/>
        <v>0.68769069110888847</v>
      </c>
      <c r="E16" s="597">
        <v>1261.8610000000001</v>
      </c>
      <c r="F16" s="598">
        <v>8.3000000000000007</v>
      </c>
      <c r="G16" s="600">
        <f t="shared" si="1"/>
        <v>0.65775865963049818</v>
      </c>
      <c r="H16" s="598">
        <v>1470.8879999999999</v>
      </c>
      <c r="I16" s="598">
        <v>8.7949999999999999</v>
      </c>
      <c r="J16" s="599">
        <f t="shared" si="2"/>
        <v>0.59793811629437454</v>
      </c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</row>
    <row r="17" spans="1:177" ht="15" customHeight="1" x14ac:dyDescent="0.3">
      <c r="A17" s="562" t="s">
        <v>195</v>
      </c>
      <c r="B17" s="597">
        <v>91.367999999999995</v>
      </c>
      <c r="C17" s="598">
        <v>4.3479999999999999</v>
      </c>
      <c r="D17" s="599">
        <f t="shared" si="0"/>
        <v>4.7587776902197714</v>
      </c>
      <c r="E17" s="597">
        <v>129.16900000000001</v>
      </c>
      <c r="F17" s="598">
        <v>8.2449999999999992</v>
      </c>
      <c r="G17" s="600">
        <f t="shared" si="1"/>
        <v>6.3831104986490557</v>
      </c>
      <c r="H17" s="598">
        <v>95.042000000000002</v>
      </c>
      <c r="I17" s="598">
        <v>4.2409999999999997</v>
      </c>
      <c r="J17" s="599">
        <f t="shared" si="2"/>
        <v>4.4622377475221473</v>
      </c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</row>
    <row r="18" spans="1:177" ht="15" customHeight="1" thickBot="1" x14ac:dyDescent="0.35">
      <c r="A18" s="564" t="s">
        <v>196</v>
      </c>
      <c r="B18" s="611">
        <v>1.0309999999999999</v>
      </c>
      <c r="C18" s="612">
        <v>0.28599999999999998</v>
      </c>
      <c r="D18" s="599">
        <f t="shared" si="0"/>
        <v>27.740058195926284</v>
      </c>
      <c r="E18" s="611">
        <v>2.1440000000000001</v>
      </c>
      <c r="F18" s="612">
        <v>0.41299999999999998</v>
      </c>
      <c r="G18" s="613">
        <f t="shared" si="1"/>
        <v>19.263059701492534</v>
      </c>
      <c r="H18" s="612">
        <v>10.632</v>
      </c>
      <c r="I18" s="612">
        <v>3.8730000000000002</v>
      </c>
      <c r="J18" s="599">
        <f t="shared" si="2"/>
        <v>36.427765237020317</v>
      </c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</row>
    <row r="19" spans="1:177" x14ac:dyDescent="0.3">
      <c r="A19" s="810"/>
      <c r="B19" s="811"/>
      <c r="C19" s="811"/>
      <c r="D19" s="811"/>
      <c r="E19" s="811"/>
      <c r="F19" s="811"/>
      <c r="G19" s="811"/>
      <c r="H19" s="811"/>
      <c r="I19" s="811"/>
      <c r="J19" s="811"/>
    </row>
    <row r="20" spans="1:177" x14ac:dyDescent="0.3">
      <c r="A20" s="168"/>
    </row>
    <row r="21" spans="1:177" x14ac:dyDescent="0.3">
      <c r="A21" s="168"/>
    </row>
  </sheetData>
  <mergeCells count="5">
    <mergeCell ref="A19:J19"/>
    <mergeCell ref="B5:D5"/>
    <mergeCell ref="E5:G5"/>
    <mergeCell ref="H5:J5"/>
    <mergeCell ref="A5:A6"/>
  </mergeCells>
  <pageMargins left="0.7" right="0.7" top="0.75" bottom="0.75" header="0.3" footer="0.3"/>
  <pageSetup paperSize="9" scale="72" orientation="portrait" r:id="rId1"/>
  <colBreaks count="1" manualBreakCount="1">
    <brk id="10" max="1048575" man="1"/>
  </colBreaks>
  <ignoredErrors>
    <ignoredError sqref="D7:G11 D15:G15 D12 G12 D13 G13 D14 G14" formula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118"/>
  <dimension ref="A1:FU20"/>
  <sheetViews>
    <sheetView showGridLines="0" topLeftCell="A3" zoomScaleNormal="100" workbookViewId="0">
      <selection activeCell="P22" sqref="P22"/>
    </sheetView>
  </sheetViews>
  <sheetFormatPr defaultColWidth="9.109375" defaultRowHeight="14.4" x14ac:dyDescent="0.3"/>
  <cols>
    <col min="1" max="1" width="20.33203125" style="35" customWidth="1"/>
    <col min="2" max="2" width="7.88671875" style="26" bestFit="1" customWidth="1"/>
    <col min="3" max="3" width="6.44140625" style="26" bestFit="1" customWidth="1"/>
    <col min="4" max="4" width="7.33203125" style="26" customWidth="1"/>
    <col min="5" max="5" width="7.88671875" style="26" bestFit="1" customWidth="1"/>
    <col min="6" max="6" width="6.44140625" style="26" bestFit="1" customWidth="1"/>
    <col min="7" max="7" width="7.33203125" style="26" customWidth="1"/>
    <col min="8" max="8" width="8.88671875" style="26" customWidth="1"/>
    <col min="9" max="9" width="6.44140625" style="26" bestFit="1" customWidth="1"/>
    <col min="10" max="10" width="7.33203125" style="26" customWidth="1"/>
    <col min="11" max="11" width="9.109375" style="26"/>
    <col min="12" max="14" width="5.77734375" style="26" customWidth="1"/>
    <col min="15" max="16384" width="9.109375" style="26"/>
  </cols>
  <sheetData>
    <row r="1" spans="1:177" hidden="1" x14ac:dyDescent="0.3">
      <c r="A1" s="88"/>
      <c r="B1" s="23"/>
      <c r="C1" s="23"/>
      <c r="D1" s="23"/>
      <c r="E1" s="23"/>
      <c r="F1" s="23"/>
      <c r="G1" s="23"/>
      <c r="H1" s="23"/>
      <c r="I1" s="23"/>
      <c r="J1" s="23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</row>
    <row r="2" spans="1:177" hidden="1" x14ac:dyDescent="0.3">
      <c r="A2" s="88"/>
      <c r="B2" s="23"/>
      <c r="C2" s="23"/>
      <c r="D2" s="23"/>
      <c r="E2" s="23"/>
      <c r="F2" s="23"/>
      <c r="G2" s="23"/>
      <c r="H2" s="23"/>
      <c r="I2" s="23"/>
      <c r="J2" s="23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</row>
    <row r="3" spans="1:177" x14ac:dyDescent="0.3">
      <c r="A3" s="88"/>
      <c r="B3" s="23"/>
      <c r="C3" s="23"/>
      <c r="D3" s="23"/>
      <c r="E3" s="23"/>
      <c r="F3" s="23"/>
      <c r="G3" s="23"/>
      <c r="H3" s="23"/>
      <c r="I3" s="23"/>
      <c r="J3" s="2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</row>
    <row r="4" spans="1:177" x14ac:dyDescent="0.3">
      <c r="A4" s="169" t="s">
        <v>410</v>
      </c>
      <c r="B4" s="169"/>
      <c r="C4" s="169"/>
      <c r="D4" s="169"/>
      <c r="E4" s="169"/>
      <c r="F4" s="169"/>
      <c r="G4" s="169"/>
      <c r="H4" s="169"/>
      <c r="I4" s="169"/>
      <c r="J4" s="49" t="s">
        <v>310</v>
      </c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</row>
    <row r="5" spans="1:177" x14ac:dyDescent="0.3">
      <c r="A5" s="818" t="s">
        <v>197</v>
      </c>
      <c r="B5" s="819" t="s">
        <v>522</v>
      </c>
      <c r="C5" s="820"/>
      <c r="D5" s="821"/>
      <c r="E5" s="819" t="s">
        <v>551</v>
      </c>
      <c r="F5" s="820"/>
      <c r="G5" s="821"/>
      <c r="H5" s="822" t="str">
        <f>'Pr 3'!K1</f>
        <v>2024.</v>
      </c>
      <c r="I5" s="822"/>
      <c r="J5" s="822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</row>
    <row r="6" spans="1:177" ht="20.399999999999999" x14ac:dyDescent="0.3">
      <c r="A6" s="818"/>
      <c r="B6" s="404" t="s">
        <v>2</v>
      </c>
      <c r="C6" s="405" t="s">
        <v>151</v>
      </c>
      <c r="D6" s="406" t="s">
        <v>181</v>
      </c>
      <c r="E6" s="404" t="s">
        <v>2</v>
      </c>
      <c r="F6" s="405" t="s">
        <v>151</v>
      </c>
      <c r="G6" s="406" t="s">
        <v>181</v>
      </c>
      <c r="H6" s="407" t="s">
        <v>2</v>
      </c>
      <c r="I6" s="405" t="s">
        <v>151</v>
      </c>
      <c r="J6" s="405" t="s">
        <v>181</v>
      </c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</row>
    <row r="7" spans="1:177" x14ac:dyDescent="0.3">
      <c r="A7" s="561" t="s">
        <v>198</v>
      </c>
      <c r="B7" s="688">
        <f>+B10+B13+B16</f>
        <v>5792.91</v>
      </c>
      <c r="C7" s="689">
        <f>+C10+C13+C16</f>
        <v>292.447</v>
      </c>
      <c r="D7" s="690">
        <f>IFERROR(C7*100/B7,0)</f>
        <v>5.0483608410971348</v>
      </c>
      <c r="E7" s="688">
        <f>+E10+E13+E16</f>
        <v>6056.5429999999997</v>
      </c>
      <c r="F7" s="689">
        <f>+F10+F13+F16</f>
        <v>314.91500000000002</v>
      </c>
      <c r="G7" s="690">
        <f>IFERROR(F7*100/E7,0)</f>
        <v>5.1995833266601101</v>
      </c>
      <c r="H7" s="689">
        <f>+H10+H13+H16</f>
        <v>6695.161000000001</v>
      </c>
      <c r="I7" s="689">
        <f>+I10+I13+I16</f>
        <v>327.17200000000003</v>
      </c>
      <c r="J7" s="691">
        <f>IFERROR(I7*100/H7,0)</f>
        <v>4.8866935388110901</v>
      </c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</row>
    <row r="8" spans="1:177" x14ac:dyDescent="0.3">
      <c r="A8" s="562" t="s">
        <v>499</v>
      </c>
      <c r="B8" s="597">
        <f t="shared" ref="B8:I9" si="0">+B11+B14+B17</f>
        <v>2868.2609999999995</v>
      </c>
      <c r="C8" s="598">
        <f t="shared" si="0"/>
        <v>140.90699999999998</v>
      </c>
      <c r="D8" s="692">
        <f t="shared" ref="D8:D18" si="1">IFERROR(C8*100/B8,0)</f>
        <v>4.9126282440823905</v>
      </c>
      <c r="E8" s="597">
        <f t="shared" ref="E8:F8" si="2">+E11+E14+E17</f>
        <v>3038.5990000000002</v>
      </c>
      <c r="F8" s="598">
        <f t="shared" si="2"/>
        <v>158.84800000000001</v>
      </c>
      <c r="G8" s="692">
        <f>IFERROR(F8*100/E8,0)</f>
        <v>5.2276723582150852</v>
      </c>
      <c r="H8" s="598">
        <f t="shared" ref="H8:I8" si="3">+H11+H14+H17</f>
        <v>3391.9000000000005</v>
      </c>
      <c r="I8" s="598">
        <f t="shared" si="3"/>
        <v>172.82700000000003</v>
      </c>
      <c r="J8" s="693">
        <f>IFERROR(I8*100/H8,0)</f>
        <v>5.0952858280020052</v>
      </c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</row>
    <row r="9" spans="1:177" ht="15" customHeight="1" x14ac:dyDescent="0.3">
      <c r="A9" s="563" t="s">
        <v>400</v>
      </c>
      <c r="B9" s="694">
        <f t="shared" si="0"/>
        <v>2924.6489999999999</v>
      </c>
      <c r="C9" s="695">
        <f t="shared" si="0"/>
        <v>151.54</v>
      </c>
      <c r="D9" s="696">
        <f t="shared" si="1"/>
        <v>5.1814764780320646</v>
      </c>
      <c r="E9" s="694">
        <f t="shared" si="0"/>
        <v>3017.944</v>
      </c>
      <c r="F9" s="695">
        <f t="shared" si="0"/>
        <v>156.06700000000001</v>
      </c>
      <c r="G9" s="696">
        <f>IFERROR(F9*100/E9,0)</f>
        <v>5.1713020519930124</v>
      </c>
      <c r="H9" s="695">
        <f t="shared" si="0"/>
        <v>3303.2610000000004</v>
      </c>
      <c r="I9" s="695">
        <f t="shared" si="0"/>
        <v>154.345</v>
      </c>
      <c r="J9" s="697">
        <f>IFERROR(I9*100/H9,0)</f>
        <v>4.6725039286934935</v>
      </c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</row>
    <row r="10" spans="1:177" x14ac:dyDescent="0.3">
      <c r="A10" s="561" t="s">
        <v>194</v>
      </c>
      <c r="B10" s="698">
        <f>+B11+B12</f>
        <v>4978.4409999999998</v>
      </c>
      <c r="C10" s="699">
        <f>+C11+C12</f>
        <v>63.638000000000005</v>
      </c>
      <c r="D10" s="700">
        <f>IFERROR(C10*100/B10,0)</f>
        <v>1.2782716517078339</v>
      </c>
      <c r="E10" s="698">
        <f>+E11+E12</f>
        <v>5143.0889999999999</v>
      </c>
      <c r="F10" s="699">
        <f>+F11+F12</f>
        <v>68.38900000000001</v>
      </c>
      <c r="G10" s="700">
        <f>IFERROR(F10*100/E10,0)</f>
        <v>1.3297261626232799</v>
      </c>
      <c r="H10" s="699">
        <f>+H11+H12</f>
        <v>5713.9980000000014</v>
      </c>
      <c r="I10" s="699">
        <f>+I11+I12</f>
        <v>69.736999999999995</v>
      </c>
      <c r="J10" s="701">
        <f>IFERROR(I10*100/H10,0)</f>
        <v>1.2204589501081375</v>
      </c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</row>
    <row r="11" spans="1:177" x14ac:dyDescent="0.3">
      <c r="A11" s="562" t="s">
        <v>499</v>
      </c>
      <c r="B11" s="597">
        <v>2423.1379999999999</v>
      </c>
      <c r="C11" s="598">
        <v>31.989000000000001</v>
      </c>
      <c r="D11" s="600">
        <f t="shared" si="1"/>
        <v>1.3201476762776203</v>
      </c>
      <c r="E11" s="597">
        <v>2481.7440000000001</v>
      </c>
      <c r="F11" s="598">
        <v>32.789000000000001</v>
      </c>
      <c r="G11" s="600">
        <f t="shared" ref="G11:G18" si="4">IFERROR(F11*100/E11,0)</f>
        <v>1.3212079892204835</v>
      </c>
      <c r="H11" s="598">
        <f>+'Pr 3'!B5</f>
        <v>2762.6150000000007</v>
      </c>
      <c r="I11" s="598">
        <f>+'Pr 3'!F5</f>
        <v>32.899000000000001</v>
      </c>
      <c r="J11" s="599">
        <f t="shared" ref="J11:J18" si="5">IFERROR(I11*100/H11,0)</f>
        <v>1.1908644527015162</v>
      </c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</row>
    <row r="12" spans="1:177" ht="15" customHeight="1" x14ac:dyDescent="0.3">
      <c r="A12" s="563" t="s">
        <v>400</v>
      </c>
      <c r="B12" s="597">
        <v>2555.3029999999999</v>
      </c>
      <c r="C12" s="598">
        <v>31.649000000000001</v>
      </c>
      <c r="D12" s="600">
        <f t="shared" si="1"/>
        <v>1.2385615326245067</v>
      </c>
      <c r="E12" s="597">
        <v>2661.3449999999998</v>
      </c>
      <c r="F12" s="598">
        <v>35.6</v>
      </c>
      <c r="G12" s="600">
        <f t="shared" si="4"/>
        <v>1.3376694866693346</v>
      </c>
      <c r="H12" s="598">
        <f>+'Pr 3'!B27</f>
        <v>2951.3830000000003</v>
      </c>
      <c r="I12" s="598">
        <f>+'Pr 3'!F27</f>
        <v>36.838000000000001</v>
      </c>
      <c r="J12" s="599">
        <f t="shared" si="5"/>
        <v>1.248160608094578</v>
      </c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</row>
    <row r="13" spans="1:177" x14ac:dyDescent="0.3">
      <c r="A13" s="561" t="s">
        <v>195</v>
      </c>
      <c r="B13" s="688">
        <f>+B14+B15</f>
        <v>600.97800000000007</v>
      </c>
      <c r="C13" s="689">
        <f>+C14+C15</f>
        <v>71.881</v>
      </c>
      <c r="D13" s="702">
        <f>IFERROR(C13*100/B13,0)</f>
        <v>11.960670773306177</v>
      </c>
      <c r="E13" s="688">
        <f>+E14+E15</f>
        <v>692.94899999999996</v>
      </c>
      <c r="F13" s="689">
        <f>+F14+F15</f>
        <v>79.715000000000003</v>
      </c>
      <c r="G13" s="702">
        <f>IFERROR(F13*100/E13,0)</f>
        <v>11.503732597925678</v>
      </c>
      <c r="H13" s="689">
        <f>+H14+H15</f>
        <v>731.875</v>
      </c>
      <c r="I13" s="689">
        <f>+I14+I15</f>
        <v>79.468000000000004</v>
      </c>
      <c r="J13" s="703">
        <f>IFERROR(I13*100/H13,0)</f>
        <v>10.858138343296329</v>
      </c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</row>
    <row r="14" spans="1:177" x14ac:dyDescent="0.3">
      <c r="A14" s="562" t="s">
        <v>499</v>
      </c>
      <c r="B14" s="597">
        <v>329.798</v>
      </c>
      <c r="C14" s="598">
        <v>36.048999999999999</v>
      </c>
      <c r="D14" s="600">
        <f t="shared" si="1"/>
        <v>10.930630264586201</v>
      </c>
      <c r="E14" s="597">
        <v>439.27199999999999</v>
      </c>
      <c r="F14" s="598">
        <v>46.003999999999998</v>
      </c>
      <c r="G14" s="600">
        <f t="shared" si="4"/>
        <v>10.472782239705694</v>
      </c>
      <c r="H14" s="598">
        <f>+'Pr 3'!C5</f>
        <v>478.00800000000004</v>
      </c>
      <c r="I14" s="598">
        <f>+'Pr 3'!G5</f>
        <v>44.954000000000001</v>
      </c>
      <c r="J14" s="599">
        <f t="shared" si="5"/>
        <v>9.4044451138893059</v>
      </c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</row>
    <row r="15" spans="1:177" ht="15" customHeight="1" x14ac:dyDescent="0.3">
      <c r="A15" s="563" t="s">
        <v>400</v>
      </c>
      <c r="B15" s="694">
        <v>271.18</v>
      </c>
      <c r="C15" s="695">
        <v>35.832000000000001</v>
      </c>
      <c r="D15" s="704">
        <f t="shared" si="1"/>
        <v>13.213363817390663</v>
      </c>
      <c r="E15" s="694">
        <v>253.67699999999999</v>
      </c>
      <c r="F15" s="695">
        <v>33.710999999999999</v>
      </c>
      <c r="G15" s="704">
        <f t="shared" si="4"/>
        <v>13.288946179590582</v>
      </c>
      <c r="H15" s="695">
        <f>+'Pr 3'!C27</f>
        <v>253.86700000000002</v>
      </c>
      <c r="I15" s="695">
        <f>+'Pr 3'!G27</f>
        <v>34.514000000000003</v>
      </c>
      <c r="J15" s="705">
        <f t="shared" si="5"/>
        <v>13.595307779270247</v>
      </c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</row>
    <row r="16" spans="1:177" x14ac:dyDescent="0.3">
      <c r="A16" s="561" t="s">
        <v>196</v>
      </c>
      <c r="B16" s="698">
        <f>+B17+B18</f>
        <v>213.49099999999999</v>
      </c>
      <c r="C16" s="699">
        <f>+C17+C18</f>
        <v>156.928</v>
      </c>
      <c r="D16" s="700">
        <f>IFERROR(C16*100/B16,0)</f>
        <v>73.505674712282953</v>
      </c>
      <c r="E16" s="698">
        <f>+E17+E18</f>
        <v>220.505</v>
      </c>
      <c r="F16" s="699">
        <f>+F17+F18</f>
        <v>166.81100000000001</v>
      </c>
      <c r="G16" s="700">
        <f>IFERROR(F16*100/E16,0)</f>
        <v>75.649531756649523</v>
      </c>
      <c r="H16" s="699">
        <f>+H17+H18</f>
        <v>249.28799999999995</v>
      </c>
      <c r="I16" s="699">
        <f>+I17+I18</f>
        <v>177.96700000000001</v>
      </c>
      <c r="J16" s="701">
        <f>IFERROR(I16*100/H16,0)</f>
        <v>71.390119059080277</v>
      </c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</row>
    <row r="17" spans="1:177" ht="15" customHeight="1" x14ac:dyDescent="0.3">
      <c r="A17" s="562" t="s">
        <v>499</v>
      </c>
      <c r="B17" s="597">
        <v>115.325</v>
      </c>
      <c r="C17" s="598">
        <v>72.869</v>
      </c>
      <c r="D17" s="600">
        <f t="shared" si="1"/>
        <v>63.185779319314975</v>
      </c>
      <c r="E17" s="597">
        <v>117.583</v>
      </c>
      <c r="F17" s="598">
        <v>80.055000000000007</v>
      </c>
      <c r="G17" s="600">
        <f t="shared" si="4"/>
        <v>68.083821640883471</v>
      </c>
      <c r="H17" s="598">
        <f>+'Pr 3'!D5</f>
        <v>151.27699999999996</v>
      </c>
      <c r="I17" s="598">
        <f>+'Pr 3'!H5</f>
        <v>94.974000000000018</v>
      </c>
      <c r="J17" s="599">
        <f t="shared" si="5"/>
        <v>62.781519993125222</v>
      </c>
      <c r="P17" s="50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</row>
    <row r="18" spans="1:177" ht="15" customHeight="1" thickBot="1" x14ac:dyDescent="0.35">
      <c r="A18" s="564" t="s">
        <v>400</v>
      </c>
      <c r="B18" s="611">
        <v>98.165999999999997</v>
      </c>
      <c r="C18" s="612">
        <v>84.058999999999997</v>
      </c>
      <c r="D18" s="706">
        <f t="shared" si="1"/>
        <v>85.629444003015294</v>
      </c>
      <c r="E18" s="611">
        <v>102.922</v>
      </c>
      <c r="F18" s="612">
        <v>86.756</v>
      </c>
      <c r="G18" s="706">
        <f t="shared" si="4"/>
        <v>84.292959717067305</v>
      </c>
      <c r="H18" s="612">
        <f>+'Pr 3'!D27</f>
        <v>98.010999999999996</v>
      </c>
      <c r="I18" s="612">
        <f>+'Pr 3'!H27</f>
        <v>82.992999999999995</v>
      </c>
      <c r="J18" s="707">
        <f t="shared" si="5"/>
        <v>84.677230106824737</v>
      </c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</row>
    <row r="20" spans="1:177" x14ac:dyDescent="0.3">
      <c r="A20" s="29"/>
      <c r="B20" s="37"/>
      <c r="C20" s="37"/>
      <c r="D20" s="37"/>
      <c r="E20" s="37"/>
      <c r="F20" s="37"/>
      <c r="G20" s="37"/>
      <c r="H20" s="37"/>
      <c r="I20" s="37"/>
      <c r="J20" s="37"/>
    </row>
  </sheetData>
  <mergeCells count="4">
    <mergeCell ref="A5:A6"/>
    <mergeCell ref="B5:D5"/>
    <mergeCell ref="E5:G5"/>
    <mergeCell ref="H5:J5"/>
  </mergeCells>
  <pageMargins left="0.7" right="0.7" top="0.75" bottom="0.75" header="0.3" footer="0.3"/>
  <pageSetup paperSize="9" scale="78" orientation="portrait" r:id="rId1"/>
  <colBreaks count="1" manualBreakCount="1">
    <brk id="10" max="1048575" man="1"/>
  </colBreaks>
  <ignoredErrors>
    <ignoredError sqref="D7:D18 G7:G18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 codeName="Sheet83"/>
  <dimension ref="A1:FP21"/>
  <sheetViews>
    <sheetView showGridLines="0" topLeftCell="A2" zoomScaleNormal="100" workbookViewId="0">
      <selection activeCell="N21" sqref="N21"/>
    </sheetView>
  </sheetViews>
  <sheetFormatPr defaultColWidth="9.109375" defaultRowHeight="12" x14ac:dyDescent="0.25"/>
  <cols>
    <col min="1" max="1" width="30.6640625" style="183" customWidth="1"/>
    <col min="2" max="9" width="7.109375" style="3" customWidth="1"/>
    <col min="10" max="10" width="9.109375" style="3"/>
    <col min="11" max="14" width="5.77734375" style="3" customWidth="1"/>
    <col min="15" max="16384" width="9.109375" style="3"/>
  </cols>
  <sheetData>
    <row r="1" spans="1:172" ht="14.4" hidden="1" x14ac:dyDescent="0.3">
      <c r="B1" s="34"/>
      <c r="C1" s="34"/>
      <c r="D1" s="34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</row>
    <row r="2" spans="1:172" ht="14.4" x14ac:dyDescent="0.3"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</row>
    <row r="3" spans="1:172" ht="15" customHeight="1" x14ac:dyDescent="0.3">
      <c r="A3" s="46" t="s">
        <v>263</v>
      </c>
      <c r="B3" s="187"/>
      <c r="C3" s="187"/>
      <c r="D3" s="187"/>
      <c r="E3" s="187"/>
      <c r="F3" s="46"/>
      <c r="G3" s="46"/>
      <c r="H3" s="46"/>
      <c r="I3" s="49" t="s">
        <v>3</v>
      </c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</row>
    <row r="4" spans="1:172" ht="15" customHeight="1" x14ac:dyDescent="0.3">
      <c r="A4" s="825" t="s">
        <v>115</v>
      </c>
      <c r="B4" s="829" t="s">
        <v>551</v>
      </c>
      <c r="C4" s="830"/>
      <c r="D4" s="830"/>
      <c r="E4" s="831"/>
      <c r="F4" s="829" t="s">
        <v>559</v>
      </c>
      <c r="G4" s="830"/>
      <c r="H4" s="830"/>
      <c r="I4" s="830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</row>
    <row r="5" spans="1:172" ht="20.25" customHeight="1" x14ac:dyDescent="0.3">
      <c r="A5" s="825"/>
      <c r="B5" s="827" t="s">
        <v>525</v>
      </c>
      <c r="C5" s="828"/>
      <c r="D5" s="828" t="s">
        <v>528</v>
      </c>
      <c r="E5" s="832"/>
      <c r="F5" s="827" t="s">
        <v>525</v>
      </c>
      <c r="G5" s="828"/>
      <c r="H5" s="828" t="s">
        <v>528</v>
      </c>
      <c r="I5" s="828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</row>
    <row r="6" spans="1:172" ht="15" customHeight="1" x14ac:dyDescent="0.3">
      <c r="A6" s="826"/>
      <c r="B6" s="184" t="s">
        <v>116</v>
      </c>
      <c r="C6" s="185" t="s">
        <v>117</v>
      </c>
      <c r="D6" s="185" t="s">
        <v>116</v>
      </c>
      <c r="E6" s="186" t="s">
        <v>117</v>
      </c>
      <c r="F6" s="184" t="s">
        <v>116</v>
      </c>
      <c r="G6" s="185" t="s">
        <v>117</v>
      </c>
      <c r="H6" s="185" t="s">
        <v>116</v>
      </c>
      <c r="I6" s="185" t="s">
        <v>117</v>
      </c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</row>
    <row r="7" spans="1:172" ht="14.1" customHeight="1" x14ac:dyDescent="0.3">
      <c r="A7" s="177" t="s">
        <v>334</v>
      </c>
      <c r="B7" s="382">
        <v>4.7279</v>
      </c>
      <c r="C7" s="383">
        <v>5.6144999999999996</v>
      </c>
      <c r="D7" s="383">
        <v>1.9452</v>
      </c>
      <c r="E7" s="384">
        <v>2.1429999999999998</v>
      </c>
      <c r="F7" s="382">
        <v>5.0692000000000004</v>
      </c>
      <c r="G7" s="383">
        <v>5.9195000000000002</v>
      </c>
      <c r="H7" s="383">
        <v>2.2079</v>
      </c>
      <c r="I7" s="383">
        <v>2.4651999999999998</v>
      </c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</row>
    <row r="8" spans="1:172" ht="14.1" customHeight="1" x14ac:dyDescent="0.3">
      <c r="A8" s="178" t="s">
        <v>335</v>
      </c>
      <c r="B8" s="376">
        <v>7.6220999999999997</v>
      </c>
      <c r="C8" s="377">
        <v>7.9132999999999996</v>
      </c>
      <c r="D8" s="377"/>
      <c r="E8" s="378"/>
      <c r="F8" s="376">
        <v>5.2507999999999999</v>
      </c>
      <c r="G8" s="377">
        <v>5.7446999999999999</v>
      </c>
      <c r="H8" s="377"/>
      <c r="I8" s="377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</row>
    <row r="9" spans="1:172" ht="14.1" customHeight="1" x14ac:dyDescent="0.3">
      <c r="A9" s="178" t="s">
        <v>336</v>
      </c>
      <c r="B9" s="376">
        <v>4.3951000000000002</v>
      </c>
      <c r="C9" s="377">
        <v>5.1127000000000002</v>
      </c>
      <c r="D9" s="377">
        <v>1.9094</v>
      </c>
      <c r="E9" s="378">
        <v>2.0680000000000001</v>
      </c>
      <c r="F9" s="376">
        <v>4.7731000000000003</v>
      </c>
      <c r="G9" s="377">
        <v>5.4364999999999997</v>
      </c>
      <c r="H9" s="377">
        <v>2.1663999999999999</v>
      </c>
      <c r="I9" s="377">
        <v>2.3815</v>
      </c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</row>
    <row r="10" spans="1:172" ht="14.1" customHeight="1" x14ac:dyDescent="0.3">
      <c r="A10" s="178" t="s">
        <v>393</v>
      </c>
      <c r="B10" s="376">
        <v>3.4436</v>
      </c>
      <c r="C10" s="377">
        <v>3.8534999999999999</v>
      </c>
      <c r="D10" s="377"/>
      <c r="E10" s="378"/>
      <c r="F10" s="376">
        <v>4.0608000000000004</v>
      </c>
      <c r="G10" s="377">
        <v>4.5400999999999998</v>
      </c>
      <c r="H10" s="377"/>
      <c r="I10" s="377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</row>
    <row r="11" spans="1:172" ht="14.1" customHeight="1" x14ac:dyDescent="0.3">
      <c r="A11" s="178" t="s">
        <v>337</v>
      </c>
      <c r="B11" s="376">
        <v>9.1999999999999993</v>
      </c>
      <c r="C11" s="377">
        <v>12.4536</v>
      </c>
      <c r="D11" s="377">
        <v>8.2609999999999992</v>
      </c>
      <c r="E11" s="378">
        <v>15.475300000000001</v>
      </c>
      <c r="F11" s="376">
        <v>9.2645</v>
      </c>
      <c r="G11" s="377">
        <v>13.097799999999999</v>
      </c>
      <c r="H11" s="377">
        <v>7.3223000000000003</v>
      </c>
      <c r="I11" s="377">
        <v>12.8081</v>
      </c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</row>
    <row r="12" spans="1:172" ht="14.1" customHeight="1" x14ac:dyDescent="0.3">
      <c r="A12" s="179" t="s">
        <v>338</v>
      </c>
      <c r="B12" s="379">
        <v>7.4413</v>
      </c>
      <c r="C12" s="380">
        <v>10.8673</v>
      </c>
      <c r="D12" s="380">
        <v>7.75</v>
      </c>
      <c r="E12" s="381">
        <v>9.08</v>
      </c>
      <c r="F12" s="379">
        <v>5.3734000000000002</v>
      </c>
      <c r="G12" s="380">
        <v>5.6879</v>
      </c>
      <c r="H12" s="380">
        <v>3.875</v>
      </c>
      <c r="I12" s="380">
        <v>4.5599999999999996</v>
      </c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</row>
    <row r="13" spans="1:172" ht="14.1" customHeight="1" x14ac:dyDescent="0.3">
      <c r="A13" s="180" t="s">
        <v>339</v>
      </c>
      <c r="B13" s="382">
        <v>6.1380999999999997</v>
      </c>
      <c r="C13" s="383">
        <v>7.3167</v>
      </c>
      <c r="D13" s="383">
        <v>5.0186000000000002</v>
      </c>
      <c r="E13" s="384">
        <v>6.0490000000000004</v>
      </c>
      <c r="F13" s="382">
        <v>5.9576000000000002</v>
      </c>
      <c r="G13" s="383">
        <v>6.9805000000000001</v>
      </c>
      <c r="H13" s="383">
        <v>5.1245000000000003</v>
      </c>
      <c r="I13" s="383">
        <v>7.1665000000000001</v>
      </c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</row>
    <row r="14" spans="1:172" ht="14.1" customHeight="1" x14ac:dyDescent="0.3">
      <c r="A14" s="178" t="s">
        <v>335</v>
      </c>
      <c r="B14" s="376">
        <v>6.4009</v>
      </c>
      <c r="C14" s="377">
        <v>6.6611000000000002</v>
      </c>
      <c r="D14" s="377">
        <v>6.17</v>
      </c>
      <c r="E14" s="378">
        <v>6.53</v>
      </c>
      <c r="F14" s="376">
        <v>5.9142999999999999</v>
      </c>
      <c r="G14" s="377">
        <v>6.1024000000000003</v>
      </c>
      <c r="H14" s="377">
        <v>4.5842999999999998</v>
      </c>
      <c r="I14" s="377">
        <v>4.6924999999999999</v>
      </c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</row>
    <row r="15" spans="1:172" ht="14.1" customHeight="1" x14ac:dyDescent="0.3">
      <c r="A15" s="178" t="s">
        <v>336</v>
      </c>
      <c r="B15" s="376">
        <v>6.0784000000000002</v>
      </c>
      <c r="C15" s="377">
        <v>7.0288000000000004</v>
      </c>
      <c r="D15" s="377">
        <v>4.4151999999999996</v>
      </c>
      <c r="E15" s="378">
        <v>4.7534000000000001</v>
      </c>
      <c r="F15" s="376">
        <v>5.8708</v>
      </c>
      <c r="G15" s="377">
        <v>6.3170000000000002</v>
      </c>
      <c r="H15" s="377">
        <v>4.4732000000000003</v>
      </c>
      <c r="I15" s="377">
        <v>4.2615999999999996</v>
      </c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</row>
    <row r="16" spans="1:172" ht="14.1" customHeight="1" x14ac:dyDescent="0.3">
      <c r="A16" s="178" t="s">
        <v>393</v>
      </c>
      <c r="B16" s="376">
        <v>4.6761999999999997</v>
      </c>
      <c r="C16" s="377">
        <v>5.1405000000000003</v>
      </c>
      <c r="D16" s="377"/>
      <c r="E16" s="378"/>
      <c r="F16" s="376">
        <v>4.9379999999999997</v>
      </c>
      <c r="G16" s="377">
        <v>5.3959999999999999</v>
      </c>
      <c r="H16" s="377">
        <v>4</v>
      </c>
      <c r="I16" s="377">
        <v>4.13</v>
      </c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</row>
    <row r="17" spans="1:172" ht="14.1" customHeight="1" x14ac:dyDescent="0.3">
      <c r="A17" s="178" t="s">
        <v>337</v>
      </c>
      <c r="B17" s="376">
        <v>6.2805999999999997</v>
      </c>
      <c r="C17" s="377">
        <v>7.8090000000000002</v>
      </c>
      <c r="D17" s="377">
        <v>5.1589</v>
      </c>
      <c r="E17" s="378">
        <v>6.3719999999999999</v>
      </c>
      <c r="F17" s="376">
        <v>6.0627000000000004</v>
      </c>
      <c r="G17" s="377">
        <v>7.6314000000000002</v>
      </c>
      <c r="H17" s="377">
        <v>5.5026999999999999</v>
      </c>
      <c r="I17" s="377">
        <v>8.8663000000000007</v>
      </c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</row>
    <row r="18" spans="1:172" ht="14.1" customHeight="1" x14ac:dyDescent="0.3">
      <c r="A18" s="181" t="s">
        <v>340</v>
      </c>
      <c r="B18" s="376">
        <v>4.1985999999999999</v>
      </c>
      <c r="C18" s="377">
        <v>4.8525</v>
      </c>
      <c r="D18" s="377">
        <v>3.6171000000000002</v>
      </c>
      <c r="E18" s="378">
        <v>4.1007999999999996</v>
      </c>
      <c r="F18" s="376">
        <v>4.1180000000000003</v>
      </c>
      <c r="G18" s="377">
        <v>4.8419999999999996</v>
      </c>
      <c r="H18" s="377">
        <v>3.8786999999999998</v>
      </c>
      <c r="I18" s="377">
        <v>4.3975</v>
      </c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</row>
    <row r="19" spans="1:172" ht="14.1" customHeight="1" x14ac:dyDescent="0.3">
      <c r="A19" s="179" t="s">
        <v>338</v>
      </c>
      <c r="B19" s="379">
        <v>5.7657999999999996</v>
      </c>
      <c r="C19" s="380">
        <v>6.1304999999999996</v>
      </c>
      <c r="D19" s="380">
        <v>5.2</v>
      </c>
      <c r="E19" s="381">
        <v>5.55</v>
      </c>
      <c r="F19" s="379">
        <v>5.4200999999999997</v>
      </c>
      <c r="G19" s="380">
        <v>5.8848000000000003</v>
      </c>
      <c r="H19" s="380">
        <v>5.0381999999999998</v>
      </c>
      <c r="I19" s="380">
        <v>5.3544</v>
      </c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</row>
    <row r="20" spans="1:172" ht="14.1" customHeight="1" thickBot="1" x14ac:dyDescent="0.35">
      <c r="A20" s="182" t="s">
        <v>341</v>
      </c>
      <c r="B20" s="385">
        <v>5.8353999999999999</v>
      </c>
      <c r="C20" s="386">
        <v>6.9512999999999998</v>
      </c>
      <c r="D20" s="386">
        <v>3.6015000000000001</v>
      </c>
      <c r="E20" s="387">
        <v>4.2481</v>
      </c>
      <c r="F20" s="385">
        <v>5.7686999999999999</v>
      </c>
      <c r="G20" s="386">
        <v>6.7549000000000001</v>
      </c>
      <c r="H20" s="386">
        <v>3.9554999999999998</v>
      </c>
      <c r="I20" s="386">
        <v>5.2821999999999996</v>
      </c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</row>
    <row r="21" spans="1:172" ht="14.4" x14ac:dyDescent="0.3">
      <c r="A21" s="823" t="s">
        <v>135</v>
      </c>
      <c r="B21" s="824"/>
      <c r="C21" s="824"/>
      <c r="D21" s="824"/>
      <c r="E21" s="824"/>
      <c r="F21" s="824"/>
      <c r="G21" s="824"/>
      <c r="H21" s="824"/>
      <c r="I21" s="824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</row>
  </sheetData>
  <mergeCells count="8">
    <mergeCell ref="A21:I21"/>
    <mergeCell ref="A4:A6"/>
    <mergeCell ref="B5:C5"/>
    <mergeCell ref="B4:E4"/>
    <mergeCell ref="F4:I4"/>
    <mergeCell ref="D5:E5"/>
    <mergeCell ref="F5:G5"/>
    <mergeCell ref="H5:I5"/>
  </mergeCells>
  <pageMargins left="0.7" right="0.7" top="0.75" bottom="0.75" header="0.3" footer="0.3"/>
  <pageSetup paperSize="9" scale="97" orientation="portrait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 codeName="Sheet85"/>
  <dimension ref="A1:FT10"/>
  <sheetViews>
    <sheetView showGridLines="0" topLeftCell="A2" zoomScaleNormal="100" workbookViewId="0">
      <selection activeCell="J14" sqref="J14"/>
    </sheetView>
  </sheetViews>
  <sheetFormatPr defaultColWidth="9.109375" defaultRowHeight="12" x14ac:dyDescent="0.25"/>
  <cols>
    <col min="1" max="1" width="35.88671875" style="3" customWidth="1"/>
    <col min="2" max="9" width="6.5546875" style="3" customWidth="1"/>
    <col min="10" max="11" width="9.109375" style="3"/>
    <col min="12" max="14" width="5.77734375" style="3" customWidth="1"/>
    <col min="15" max="16384" width="9.109375" style="3"/>
  </cols>
  <sheetData>
    <row r="1" spans="1:176" ht="14.4" hidden="1" customHeight="1" thickBot="1" x14ac:dyDescent="0.35">
      <c r="B1" s="34"/>
      <c r="C1" s="34"/>
      <c r="D1" s="34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</row>
    <row r="2" spans="1:176" ht="14.4" x14ac:dyDescent="0.3"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</row>
    <row r="3" spans="1:176" ht="15" customHeight="1" x14ac:dyDescent="0.3">
      <c r="A3" s="46" t="s">
        <v>264</v>
      </c>
      <c r="B3" s="46"/>
      <c r="C3" s="46"/>
      <c r="D3" s="46"/>
      <c r="E3" s="46"/>
      <c r="F3" s="46"/>
      <c r="G3" s="46"/>
      <c r="H3" s="46"/>
      <c r="I3" s="49" t="s">
        <v>3</v>
      </c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</row>
    <row r="4" spans="1:176" ht="14.4" x14ac:dyDescent="0.3">
      <c r="A4" s="838" t="s">
        <v>115</v>
      </c>
      <c r="B4" s="834" t="s">
        <v>551</v>
      </c>
      <c r="C4" s="835"/>
      <c r="D4" s="835"/>
      <c r="E4" s="836"/>
      <c r="F4" s="835" t="s">
        <v>559</v>
      </c>
      <c r="G4" s="835"/>
      <c r="H4" s="835"/>
      <c r="I4" s="835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</row>
    <row r="5" spans="1:176" ht="30.6" customHeight="1" x14ac:dyDescent="0.3">
      <c r="A5" s="839"/>
      <c r="B5" s="827" t="s">
        <v>525</v>
      </c>
      <c r="C5" s="828"/>
      <c r="D5" s="828" t="s">
        <v>528</v>
      </c>
      <c r="E5" s="832"/>
      <c r="F5" s="827" t="s">
        <v>525</v>
      </c>
      <c r="G5" s="828"/>
      <c r="H5" s="837" t="s">
        <v>528</v>
      </c>
      <c r="I5" s="837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</row>
    <row r="6" spans="1:176" ht="12" customHeight="1" x14ac:dyDescent="0.3">
      <c r="A6" s="840"/>
      <c r="B6" s="184" t="s">
        <v>116</v>
      </c>
      <c r="C6" s="185" t="s">
        <v>117</v>
      </c>
      <c r="D6" s="185" t="s">
        <v>116</v>
      </c>
      <c r="E6" s="186" t="s">
        <v>117</v>
      </c>
      <c r="F6" s="185" t="s">
        <v>116</v>
      </c>
      <c r="G6" s="185" t="s">
        <v>117</v>
      </c>
      <c r="H6" s="185" t="s">
        <v>116</v>
      </c>
      <c r="I6" s="185" t="s">
        <v>117</v>
      </c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</row>
    <row r="7" spans="1:176" ht="14.1" customHeight="1" x14ac:dyDescent="0.3">
      <c r="A7" s="210" t="s">
        <v>396</v>
      </c>
      <c r="B7" s="388">
        <v>1.6564000000000001</v>
      </c>
      <c r="C7" s="389">
        <v>1.6516</v>
      </c>
      <c r="D7" s="389">
        <v>0.34460000000000002</v>
      </c>
      <c r="E7" s="390">
        <v>0.34610000000000002</v>
      </c>
      <c r="F7" s="389">
        <v>2.0440999999999998</v>
      </c>
      <c r="G7" s="389">
        <v>2.0444</v>
      </c>
      <c r="H7" s="389">
        <v>1.4522999999999999</v>
      </c>
      <c r="I7" s="389">
        <v>1.4733000000000001</v>
      </c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</row>
    <row r="8" spans="1:176" ht="14.1" customHeight="1" x14ac:dyDescent="0.3">
      <c r="A8" s="210" t="s">
        <v>395</v>
      </c>
      <c r="B8" s="388">
        <v>2.33</v>
      </c>
      <c r="C8" s="389">
        <v>2.3344</v>
      </c>
      <c r="D8" s="389">
        <v>1.6119000000000001</v>
      </c>
      <c r="E8" s="390">
        <v>1.6146</v>
      </c>
      <c r="F8" s="389">
        <v>2.5760000000000001</v>
      </c>
      <c r="G8" s="389">
        <v>2.5716999999999999</v>
      </c>
      <c r="H8" s="389">
        <v>1.3809</v>
      </c>
      <c r="I8" s="389">
        <v>1.3893</v>
      </c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</row>
    <row r="9" spans="1:176" ht="14.1" customHeight="1" thickBot="1" x14ac:dyDescent="0.35">
      <c r="A9" s="211" t="s">
        <v>394</v>
      </c>
      <c r="B9" s="391">
        <v>2.2065999999999999</v>
      </c>
      <c r="C9" s="392">
        <v>2.2092000000000001</v>
      </c>
      <c r="D9" s="392">
        <v>1.0946</v>
      </c>
      <c r="E9" s="393">
        <v>1.0968</v>
      </c>
      <c r="F9" s="392">
        <v>2.3975</v>
      </c>
      <c r="G9" s="392">
        <v>2.3946999999999998</v>
      </c>
      <c r="H9" s="392">
        <v>1.3992</v>
      </c>
      <c r="I9" s="392">
        <v>1.4108000000000001</v>
      </c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</row>
    <row r="10" spans="1:176" ht="14.4" x14ac:dyDescent="0.3">
      <c r="A10" s="833" t="s">
        <v>135</v>
      </c>
      <c r="B10" s="824"/>
      <c r="C10" s="824"/>
      <c r="D10" s="824"/>
      <c r="E10" s="824"/>
      <c r="F10" s="824"/>
      <c r="G10" s="824"/>
      <c r="H10" s="824"/>
      <c r="I10" s="824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</row>
  </sheetData>
  <mergeCells count="8">
    <mergeCell ref="A10:I10"/>
    <mergeCell ref="B4:E4"/>
    <mergeCell ref="F4:I4"/>
    <mergeCell ref="D5:E5"/>
    <mergeCell ref="H5:I5"/>
    <mergeCell ref="A4:A6"/>
    <mergeCell ref="B5:C5"/>
    <mergeCell ref="F5:G5"/>
  </mergeCells>
  <pageMargins left="0.7" right="0.7" top="0.75" bottom="0.75" header="0.3" footer="0.3"/>
  <pageSetup orientation="portrait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 codeName="Sheet87"/>
  <dimension ref="A1:FS13"/>
  <sheetViews>
    <sheetView showGridLines="0" topLeftCell="A2" zoomScaleNormal="100" workbookViewId="0">
      <selection activeCell="O22" sqref="O22"/>
    </sheetView>
  </sheetViews>
  <sheetFormatPr defaultColWidth="9.109375" defaultRowHeight="12" outlineLevelCol="1" x14ac:dyDescent="0.25"/>
  <cols>
    <col min="1" max="1" width="32.33203125" style="3" customWidth="1"/>
    <col min="2" max="9" width="7.44140625" style="3" customWidth="1"/>
    <col min="10" max="10" width="9.109375" style="3"/>
    <col min="11" max="13" width="5.77734375" style="3" customWidth="1"/>
    <col min="14" max="14" width="9.109375" style="3" hidden="1" customWidth="1" outlineLevel="1"/>
    <col min="15" max="15" width="9.109375" style="3" collapsed="1"/>
    <col min="16" max="16384" width="9.109375" style="3"/>
  </cols>
  <sheetData>
    <row r="1" spans="1:175" ht="14.4" hidden="1" x14ac:dyDescent="0.3">
      <c r="B1" s="23"/>
      <c r="C1" s="23"/>
      <c r="D1" s="23"/>
      <c r="E1" s="23"/>
      <c r="F1" s="23"/>
      <c r="G1" s="23"/>
      <c r="H1" s="23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</row>
    <row r="2" spans="1:175" ht="14.4" x14ac:dyDescent="0.3"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</row>
    <row r="3" spans="1:175" ht="15" customHeight="1" x14ac:dyDescent="0.3">
      <c r="A3" s="46" t="s">
        <v>265</v>
      </c>
      <c r="B3" s="46"/>
      <c r="C3" s="46"/>
      <c r="D3" s="46"/>
      <c r="E3" s="46"/>
      <c r="F3" s="46"/>
      <c r="G3" s="46"/>
      <c r="H3" s="46"/>
      <c r="I3" s="49" t="s">
        <v>3</v>
      </c>
      <c r="N3" s="841" t="str">
        <f>"Разлика износа на датум " &amp; F4 &amp;  " и износа на датум " &amp; B4 &amp; " (" &amp; I3 &amp; ")"</f>
        <v>Разлика износа на датум 2024. и износа на датум 2023. (%)</v>
      </c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</row>
    <row r="4" spans="1:175" ht="15" customHeight="1" x14ac:dyDescent="0.3">
      <c r="A4" s="838" t="s">
        <v>115</v>
      </c>
      <c r="B4" s="834" t="s">
        <v>551</v>
      </c>
      <c r="C4" s="835"/>
      <c r="D4" s="835"/>
      <c r="E4" s="836"/>
      <c r="F4" s="835" t="s">
        <v>559</v>
      </c>
      <c r="G4" s="835"/>
      <c r="H4" s="835"/>
      <c r="I4" s="835"/>
      <c r="N4" s="842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</row>
    <row r="5" spans="1:175" ht="30.6" customHeight="1" x14ac:dyDescent="0.3">
      <c r="A5" s="839"/>
      <c r="B5" s="827" t="s">
        <v>525</v>
      </c>
      <c r="C5" s="828"/>
      <c r="D5" s="828" t="s">
        <v>528</v>
      </c>
      <c r="E5" s="832"/>
      <c r="F5" s="827" t="s">
        <v>525</v>
      </c>
      <c r="G5" s="828"/>
      <c r="H5" s="837" t="s">
        <v>528</v>
      </c>
      <c r="I5" s="837"/>
      <c r="N5" s="657" t="s">
        <v>525</v>
      </c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</row>
    <row r="6" spans="1:175" ht="12" customHeight="1" x14ac:dyDescent="0.3">
      <c r="A6" s="840"/>
      <c r="B6" s="184" t="s">
        <v>116</v>
      </c>
      <c r="C6" s="185" t="s">
        <v>117</v>
      </c>
      <c r="D6" s="185" t="s">
        <v>116</v>
      </c>
      <c r="E6" s="186" t="s">
        <v>117</v>
      </c>
      <c r="F6" s="185" t="s">
        <v>116</v>
      </c>
      <c r="G6" s="185" t="s">
        <v>117</v>
      </c>
      <c r="H6" s="185" t="s">
        <v>116</v>
      </c>
      <c r="I6" s="185" t="s">
        <v>117</v>
      </c>
      <c r="N6" s="637" t="s">
        <v>116</v>
      </c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</row>
    <row r="7" spans="1:175" ht="24" x14ac:dyDescent="0.3">
      <c r="A7" s="212" t="s">
        <v>369</v>
      </c>
      <c r="B7" s="394"/>
      <c r="C7" s="395"/>
      <c r="D7" s="395"/>
      <c r="E7" s="396"/>
      <c r="F7" s="395"/>
      <c r="G7" s="395"/>
      <c r="H7" s="395"/>
      <c r="I7" s="395"/>
      <c r="N7" s="636">
        <f>ROUND(F7,2)-ROUND(B7,2)</f>
        <v>0</v>
      </c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</row>
    <row r="8" spans="1:175" ht="14.1" customHeight="1" x14ac:dyDescent="0.3">
      <c r="A8" s="213" t="s">
        <v>385</v>
      </c>
      <c r="B8" s="388">
        <v>7.4099000000000004</v>
      </c>
      <c r="C8" s="389">
        <v>8.2493999999999996</v>
      </c>
      <c r="D8" s="389">
        <v>6.1280999999999999</v>
      </c>
      <c r="E8" s="390">
        <v>6.3884999999999996</v>
      </c>
      <c r="F8" s="389">
        <v>7.6783999999999999</v>
      </c>
      <c r="G8" s="389">
        <v>8.5589999999999993</v>
      </c>
      <c r="H8" s="389">
        <v>6.0567000000000002</v>
      </c>
      <c r="I8" s="389">
        <v>6.3543000000000003</v>
      </c>
      <c r="N8" s="634">
        <f t="shared" ref="N8:N12" si="0">ROUND(F8,2)-ROUND(B8,2)</f>
        <v>0.26999999999999957</v>
      </c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</row>
    <row r="9" spans="1:175" ht="14.1" customHeight="1" x14ac:dyDescent="0.3">
      <c r="A9" s="214" t="s">
        <v>539</v>
      </c>
      <c r="B9" s="397">
        <v>13.0381</v>
      </c>
      <c r="C9" s="398">
        <v>14.9955</v>
      </c>
      <c r="D9" s="398">
        <v>13.7029</v>
      </c>
      <c r="E9" s="399">
        <v>14.343299999999999</v>
      </c>
      <c r="F9" s="398">
        <v>13.389799999999999</v>
      </c>
      <c r="G9" s="398">
        <v>15.7385</v>
      </c>
      <c r="H9" s="398">
        <v>13.571999999999999</v>
      </c>
      <c r="I9" s="398">
        <v>14.181699999999999</v>
      </c>
      <c r="N9" s="634">
        <f t="shared" si="0"/>
        <v>0.35000000000000142</v>
      </c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</row>
    <row r="10" spans="1:175" ht="14.1" customHeight="1" x14ac:dyDescent="0.3">
      <c r="A10" s="212" t="s">
        <v>370</v>
      </c>
      <c r="B10" s="394"/>
      <c r="C10" s="395"/>
      <c r="D10" s="395"/>
      <c r="E10" s="396"/>
      <c r="F10" s="395"/>
      <c r="G10" s="395"/>
      <c r="H10" s="395"/>
      <c r="I10" s="395"/>
      <c r="N10" s="634">
        <f t="shared" si="0"/>
        <v>0</v>
      </c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</row>
    <row r="11" spans="1:175" ht="14.1" customHeight="1" x14ac:dyDescent="0.3">
      <c r="A11" s="213" t="s">
        <v>385</v>
      </c>
      <c r="B11" s="388">
        <v>9.7999999999999997E-3</v>
      </c>
      <c r="C11" s="389">
        <v>9.9000000000000008E-3</v>
      </c>
      <c r="D11" s="389">
        <v>0.01</v>
      </c>
      <c r="E11" s="390">
        <v>0.01</v>
      </c>
      <c r="F11" s="389">
        <v>1.44E-2</v>
      </c>
      <c r="G11" s="389">
        <v>1.44E-2</v>
      </c>
      <c r="H11" s="389">
        <v>8.0000000000000002E-3</v>
      </c>
      <c r="I11" s="389">
        <v>8.0000000000000002E-3</v>
      </c>
      <c r="N11" s="634">
        <f t="shared" si="0"/>
        <v>0</v>
      </c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</row>
    <row r="12" spans="1:175" ht="14.1" customHeight="1" thickBot="1" x14ac:dyDescent="0.35">
      <c r="A12" s="215" t="s">
        <v>540</v>
      </c>
      <c r="B12" s="400">
        <v>1.06E-2</v>
      </c>
      <c r="C12" s="401">
        <v>1.06E-2</v>
      </c>
      <c r="D12" s="401">
        <v>1.8800000000000001E-2</v>
      </c>
      <c r="E12" s="402">
        <v>1.8800000000000001E-2</v>
      </c>
      <c r="F12" s="401">
        <v>4.8999999999999998E-3</v>
      </c>
      <c r="G12" s="401">
        <v>4.8999999999999998E-3</v>
      </c>
      <c r="H12" s="401">
        <v>1.5599999999999999E-2</v>
      </c>
      <c r="I12" s="401">
        <v>1.5599999999999999E-2</v>
      </c>
      <c r="N12" s="635">
        <f t="shared" si="0"/>
        <v>-0.01</v>
      </c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</row>
    <row r="13" spans="1:175" ht="14.4" x14ac:dyDescent="0.3">
      <c r="A13" s="216" t="s">
        <v>135</v>
      </c>
      <c r="B13" s="217"/>
      <c r="C13" s="217"/>
      <c r="D13" s="217"/>
      <c r="E13" s="217"/>
      <c r="F13" s="217"/>
      <c r="G13" s="217"/>
      <c r="H13" s="217"/>
      <c r="I13" s="217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</row>
  </sheetData>
  <mergeCells count="8">
    <mergeCell ref="N3:N4"/>
    <mergeCell ref="A4:A6"/>
    <mergeCell ref="H5:I5"/>
    <mergeCell ref="B4:E4"/>
    <mergeCell ref="F4:I4"/>
    <mergeCell ref="B5:C5"/>
    <mergeCell ref="D5:E5"/>
    <mergeCell ref="F5:G5"/>
  </mergeCells>
  <conditionalFormatting sqref="N7:N12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equal">
      <formula>0</formula>
    </cfRule>
  </conditionalFormatting>
  <pageMargins left="0.7" right="0.7" top="0.75" bottom="0.75" header="0.3" footer="0.3"/>
  <pageSetup paperSize="9" scale="94" orientation="portrait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sheetPr codeName="Sheet93">
    <tabColor theme="0"/>
  </sheetPr>
  <dimension ref="A2:N69"/>
  <sheetViews>
    <sheetView showGridLines="0" topLeftCell="B1" zoomScaleNormal="100" workbookViewId="0">
      <selection activeCell="U23" sqref="U23"/>
    </sheetView>
  </sheetViews>
  <sheetFormatPr defaultRowHeight="14.4" x14ac:dyDescent="0.3"/>
  <cols>
    <col min="1" max="1" width="6.5546875" hidden="1" customWidth="1"/>
    <col min="2" max="2" width="45.5546875" customWidth="1"/>
    <col min="3" max="5" width="7.6640625" customWidth="1"/>
    <col min="6" max="6" width="8.6640625" customWidth="1"/>
    <col min="7" max="7" width="9.109375" style="45" hidden="1" customWidth="1"/>
    <col min="8" max="8" width="8.88671875" hidden="1" customWidth="1"/>
    <col min="9" max="9" width="9.109375" style="45" hidden="1" customWidth="1"/>
    <col min="10" max="10" width="8.6640625" style="297" hidden="1" customWidth="1"/>
    <col min="11" max="11" width="9.109375" style="45" hidden="1" customWidth="1"/>
    <col min="12" max="12" width="8.6640625" style="3" hidden="1" customWidth="1"/>
    <col min="13" max="13" width="9.109375" style="45" hidden="1" customWidth="1"/>
    <col min="14" max="14" width="8.6640625" style="3" hidden="1" customWidth="1"/>
  </cols>
  <sheetData>
    <row r="2" spans="2:14" x14ac:dyDescent="0.3">
      <c r="B2" s="46" t="s">
        <v>5</v>
      </c>
      <c r="C2" s="46"/>
      <c r="D2" s="46"/>
      <c r="E2" s="256"/>
      <c r="F2" s="256" t="s">
        <v>310</v>
      </c>
      <c r="G2"/>
    </row>
    <row r="3" spans="2:14" ht="19.2" customHeight="1" x14ac:dyDescent="0.3">
      <c r="B3" s="502" t="s">
        <v>10</v>
      </c>
      <c r="C3" s="505">
        <v>2022</v>
      </c>
      <c r="D3" s="502">
        <v>2023</v>
      </c>
      <c r="E3" s="506">
        <v>2024</v>
      </c>
      <c r="F3" s="52" t="str">
        <f>IF(LEN(E3)&gt;5,"Индекс " &amp; MID(E3,1,2) &amp; "-" &amp; MID(E3,4,5) &amp; "/" &amp; D3,"Индекс " &amp; E3 &amp; "/" &amp; D3)</f>
        <v>Индекс 2024/2023</v>
      </c>
      <c r="G3"/>
      <c r="I3" s="845" t="s">
        <v>522</v>
      </c>
      <c r="J3" s="846"/>
      <c r="K3" s="845" t="s">
        <v>551</v>
      </c>
      <c r="L3" s="846"/>
      <c r="M3" s="845" t="s">
        <v>559</v>
      </c>
      <c r="N3" s="846"/>
    </row>
    <row r="4" spans="2:14" s="299" customFormat="1" ht="12" customHeight="1" x14ac:dyDescent="0.3">
      <c r="B4" s="501">
        <v>1</v>
      </c>
      <c r="C4" s="507">
        <v>2</v>
      </c>
      <c r="D4" s="501">
        <v>3</v>
      </c>
      <c r="E4" s="508">
        <v>4</v>
      </c>
      <c r="F4" s="509">
        <v>5</v>
      </c>
      <c r="I4" s="434" t="s">
        <v>210</v>
      </c>
      <c r="J4" s="435">
        <v>1089.299</v>
      </c>
      <c r="K4" s="429" t="s">
        <v>210</v>
      </c>
      <c r="L4" s="435">
        <v>1188.3019999999999</v>
      </c>
      <c r="M4" s="429" t="s">
        <v>210</v>
      </c>
      <c r="N4" s="435">
        <v>1386.8430000000001</v>
      </c>
    </row>
    <row r="5" spans="2:14" ht="12.45" customHeight="1" x14ac:dyDescent="0.3">
      <c r="B5" s="503" t="s">
        <v>32</v>
      </c>
      <c r="C5" s="513">
        <f>IFERROR(VLOOKUP($G5,I$4:J$42,2,FALSE),0)</f>
        <v>1089.299</v>
      </c>
      <c r="D5" s="513">
        <f>IFERROR(VLOOKUP($G5,K$4:L$42,2,FALSE),0)</f>
        <v>1188.3019999999999</v>
      </c>
      <c r="E5" s="513">
        <f>IFERROR(VLOOKUP($G5,M$4:N$42,2,FALSE),0)</f>
        <v>1386.8430000000001</v>
      </c>
      <c r="F5" s="510">
        <f t="shared" ref="F5:F7" si="0">IF(ROUND(D5,1)&gt;0,E5*100/D5,"-")</f>
        <v>116.70795807799703</v>
      </c>
      <c r="G5" s="45" t="s">
        <v>210</v>
      </c>
      <c r="I5" s="429" t="s">
        <v>211</v>
      </c>
      <c r="J5" s="436">
        <v>1043.3800000000001</v>
      </c>
      <c r="K5" s="45" t="s">
        <v>211</v>
      </c>
      <c r="L5" s="436">
        <v>1130.0150000000001</v>
      </c>
      <c r="M5" s="429" t="s">
        <v>211</v>
      </c>
      <c r="N5" s="436">
        <v>1309.855</v>
      </c>
    </row>
    <row r="6" spans="2:14" ht="12.45" customHeight="1" x14ac:dyDescent="0.3">
      <c r="B6" s="504" t="s">
        <v>34</v>
      </c>
      <c r="C6" s="514">
        <f>IFERROR(VLOOKUP($G6,I$4:J$42,2,FALSE),0)</f>
        <v>1043.3800000000001</v>
      </c>
      <c r="D6" s="514">
        <f>IFERROR(VLOOKUP($G6,K$4:L$42,2,FALSE),0)</f>
        <v>1130.0150000000001</v>
      </c>
      <c r="E6" s="514">
        <f>IFERROR(VLOOKUP($G6,M$4:N$42,2,FALSE),0)</f>
        <v>1309.855</v>
      </c>
      <c r="F6" s="511">
        <f t="shared" si="0"/>
        <v>115.91483298894262</v>
      </c>
      <c r="G6" s="45" t="s">
        <v>211</v>
      </c>
      <c r="I6" s="429" t="s">
        <v>212</v>
      </c>
      <c r="J6" s="436">
        <v>1037.3800000000001</v>
      </c>
      <c r="K6" s="45" t="s">
        <v>212</v>
      </c>
      <c r="L6" s="436">
        <v>1124.0150000000001</v>
      </c>
      <c r="M6" s="429" t="s">
        <v>212</v>
      </c>
      <c r="N6" s="436">
        <v>1303.855</v>
      </c>
    </row>
    <row r="7" spans="2:14" ht="12.45" customHeight="1" x14ac:dyDescent="0.3">
      <c r="B7" s="648" t="s">
        <v>488</v>
      </c>
      <c r="C7" s="515">
        <f>IFERROR(VLOOKUP($G7,I$4:J$42,2,FALSE),0)</f>
        <v>1037.3800000000001</v>
      </c>
      <c r="D7" s="515">
        <f>IFERROR(VLOOKUP($G7,K$4:L$42,2,FALSE),0)</f>
        <v>1124.0150000000001</v>
      </c>
      <c r="E7" s="515">
        <f>IFERROR(VLOOKUP($G7,M$4:N$42,2,FALSE),0)</f>
        <v>1303.855</v>
      </c>
      <c r="F7" s="526">
        <f t="shared" si="0"/>
        <v>115.99978647971778</v>
      </c>
      <c r="G7" s="45" t="s">
        <v>212</v>
      </c>
      <c r="I7" s="429" t="s">
        <v>213</v>
      </c>
      <c r="J7" s="436">
        <v>707.83299999999997</v>
      </c>
      <c r="K7" s="45" t="s">
        <v>213</v>
      </c>
      <c r="L7" s="436">
        <v>711.38900000000001</v>
      </c>
      <c r="M7" s="429" t="s">
        <v>213</v>
      </c>
      <c r="N7" s="436">
        <v>716.68299999999999</v>
      </c>
    </row>
    <row r="8" spans="2:14" ht="12.45" customHeight="1" x14ac:dyDescent="0.3">
      <c r="B8" s="649" t="s">
        <v>479</v>
      </c>
      <c r="C8" s="516">
        <f>+SUM(C9:C14)</f>
        <v>1082.57</v>
      </c>
      <c r="D8" s="516">
        <f t="shared" ref="D8:E8" si="1">+SUM(D9:D14)</f>
        <v>1168.461</v>
      </c>
      <c r="E8" s="516">
        <f t="shared" si="1"/>
        <v>1325.0089999999998</v>
      </c>
      <c r="F8" s="96">
        <f t="shared" ref="F8:F17" si="2">IF(ROUND(D8,1)&gt;0,E8*100/D8,"-")</f>
        <v>113.39779419253186</v>
      </c>
      <c r="I8" s="429" t="s">
        <v>214</v>
      </c>
      <c r="J8" s="436">
        <v>693.36500000000001</v>
      </c>
      <c r="K8" s="45" t="s">
        <v>214</v>
      </c>
      <c r="L8" s="436">
        <v>695.64099999999996</v>
      </c>
      <c r="M8" s="429" t="s">
        <v>214</v>
      </c>
      <c r="N8" s="436">
        <v>700.64099999999996</v>
      </c>
    </row>
    <row r="9" spans="2:14" ht="12.45" customHeight="1" x14ac:dyDescent="0.3">
      <c r="B9" s="650" t="s">
        <v>553</v>
      </c>
      <c r="C9" s="517">
        <f t="shared" ref="C9:C14" si="3">IFERROR(VLOOKUP($G9,I$4:J$42,2,FALSE),0)</f>
        <v>693.36500000000001</v>
      </c>
      <c r="D9" s="517">
        <f t="shared" ref="D9:D14" si="4">IFERROR(VLOOKUP($G9,K$4:L$42,2,FALSE),0)</f>
        <v>695.64099999999996</v>
      </c>
      <c r="E9" s="517">
        <f t="shared" ref="E9:E14" si="5">IFERROR(VLOOKUP($G9,M$4:N$42,2,FALSE),0)</f>
        <v>700.64099999999996</v>
      </c>
      <c r="F9" s="48">
        <f t="shared" si="2"/>
        <v>100.71876154510731</v>
      </c>
      <c r="G9" s="45" t="s">
        <v>214</v>
      </c>
      <c r="I9" s="429" t="s">
        <v>215</v>
      </c>
      <c r="J9" s="436">
        <v>0</v>
      </c>
      <c r="K9" s="45" t="s">
        <v>215</v>
      </c>
      <c r="L9" s="436">
        <v>1.446</v>
      </c>
      <c r="M9" s="429" t="s">
        <v>215</v>
      </c>
      <c r="N9" s="436">
        <v>1.446</v>
      </c>
    </row>
    <row r="10" spans="2:14" ht="12.45" customHeight="1" x14ac:dyDescent="0.3">
      <c r="B10" s="650" t="s">
        <v>218</v>
      </c>
      <c r="C10" s="517">
        <f t="shared" si="3"/>
        <v>17.256</v>
      </c>
      <c r="D10" s="517">
        <f t="shared" si="4"/>
        <v>17.256</v>
      </c>
      <c r="E10" s="517">
        <f t="shared" si="5"/>
        <v>17.256</v>
      </c>
      <c r="F10" s="48">
        <f>IF(ROUND(D10,1)&gt;0,E10*100/D10,"-")</f>
        <v>100</v>
      </c>
      <c r="G10" s="45" t="s">
        <v>216</v>
      </c>
      <c r="I10" s="429" t="s">
        <v>216</v>
      </c>
      <c r="J10" s="436">
        <v>17.256</v>
      </c>
      <c r="K10" s="45" t="s">
        <v>216</v>
      </c>
      <c r="L10" s="436">
        <v>17.256</v>
      </c>
      <c r="M10" s="429" t="s">
        <v>216</v>
      </c>
      <c r="N10" s="436">
        <v>17.256</v>
      </c>
    </row>
    <row r="11" spans="2:14" ht="12.45" customHeight="1" x14ac:dyDescent="0.3">
      <c r="B11" s="650" t="s">
        <v>554</v>
      </c>
      <c r="C11" s="517">
        <f t="shared" si="3"/>
        <v>194.751</v>
      </c>
      <c r="D11" s="517">
        <f t="shared" si="4"/>
        <v>270.72899999999998</v>
      </c>
      <c r="E11" s="517">
        <f t="shared" si="5"/>
        <v>373.75299999999999</v>
      </c>
      <c r="F11" s="48">
        <f t="shared" si="2"/>
        <v>138.05429045281443</v>
      </c>
      <c r="G11" s="45" t="s">
        <v>223</v>
      </c>
      <c r="I11" s="429" t="s">
        <v>217</v>
      </c>
      <c r="J11" s="436">
        <v>-2.5640000000000001</v>
      </c>
      <c r="K11" s="45" t="s">
        <v>217</v>
      </c>
      <c r="L11" s="436">
        <v>-1.508</v>
      </c>
      <c r="M11" s="429" t="s">
        <v>217</v>
      </c>
      <c r="N11" s="436">
        <v>-1.2150000000000001</v>
      </c>
    </row>
    <row r="12" spans="2:14" ht="12.45" customHeight="1" x14ac:dyDescent="0.3">
      <c r="B12" s="650" t="s">
        <v>555</v>
      </c>
      <c r="C12" s="517">
        <f t="shared" si="3"/>
        <v>50.287999999999997</v>
      </c>
      <c r="D12" s="517">
        <f t="shared" si="4"/>
        <v>64.716999999999999</v>
      </c>
      <c r="E12" s="517">
        <f t="shared" si="5"/>
        <v>99.951999999999998</v>
      </c>
      <c r="F12" s="48">
        <f t="shared" si="2"/>
        <v>154.44473631348797</v>
      </c>
      <c r="G12" s="45" t="s">
        <v>224</v>
      </c>
      <c r="I12" s="429" t="s">
        <v>219</v>
      </c>
      <c r="J12" s="436">
        <v>-2.5640000000000001</v>
      </c>
      <c r="K12" s="45" t="s">
        <v>219</v>
      </c>
      <c r="L12" s="436">
        <v>-1.508</v>
      </c>
      <c r="M12" s="429" t="s">
        <v>219</v>
      </c>
      <c r="N12" s="436">
        <v>-1.2150000000000001</v>
      </c>
    </row>
    <row r="13" spans="2:14" ht="12.45" customHeight="1" x14ac:dyDescent="0.3">
      <c r="B13" s="650" t="s">
        <v>480</v>
      </c>
      <c r="C13" s="517">
        <f t="shared" si="3"/>
        <v>-8.7279999999999998</v>
      </c>
      <c r="D13" s="517">
        <f t="shared" si="4"/>
        <v>-17.285</v>
      </c>
      <c r="E13" s="517">
        <f t="shared" si="5"/>
        <v>-9.9</v>
      </c>
      <c r="F13" s="48" t="str">
        <f t="shared" si="2"/>
        <v>-</v>
      </c>
      <c r="G13" s="45" t="s">
        <v>227</v>
      </c>
      <c r="I13" s="429" t="s">
        <v>221</v>
      </c>
      <c r="J13" s="436">
        <v>-0.224</v>
      </c>
      <c r="K13" s="45" t="s">
        <v>221</v>
      </c>
      <c r="L13" s="436">
        <v>0</v>
      </c>
      <c r="M13" s="429" t="s">
        <v>221</v>
      </c>
      <c r="N13" s="436">
        <v>0</v>
      </c>
    </row>
    <row r="14" spans="2:14" ht="12.45" customHeight="1" x14ac:dyDescent="0.3">
      <c r="B14" s="650" t="s">
        <v>481</v>
      </c>
      <c r="C14" s="517">
        <f t="shared" si="3"/>
        <v>135.63800000000001</v>
      </c>
      <c r="D14" s="517">
        <f t="shared" si="4"/>
        <v>137.40299999999999</v>
      </c>
      <c r="E14" s="517">
        <f t="shared" si="5"/>
        <v>143.30699999999999</v>
      </c>
      <c r="F14" s="48">
        <f t="shared" si="2"/>
        <v>104.29684941376826</v>
      </c>
      <c r="G14" s="45" t="s">
        <v>228</v>
      </c>
      <c r="I14" s="429" t="s">
        <v>222</v>
      </c>
      <c r="J14" s="436">
        <v>245.03899999999999</v>
      </c>
      <c r="K14" s="45" t="s">
        <v>222</v>
      </c>
      <c r="L14" s="436">
        <v>335.44600000000003</v>
      </c>
      <c r="M14" s="429" t="s">
        <v>222</v>
      </c>
      <c r="N14" s="436">
        <v>473.70499999999998</v>
      </c>
    </row>
    <row r="15" spans="2:14" ht="12.45" customHeight="1" x14ac:dyDescent="0.3">
      <c r="B15" s="649" t="s">
        <v>482</v>
      </c>
      <c r="C15" s="519">
        <f>C7-C8</f>
        <v>-45.189999999999827</v>
      </c>
      <c r="D15" s="519">
        <f t="shared" ref="D15:E15" si="6">D7-D8</f>
        <v>-44.445999999999913</v>
      </c>
      <c r="E15" s="519">
        <f t="shared" si="6"/>
        <v>-21.153999999999769</v>
      </c>
      <c r="F15" s="96" t="str">
        <f t="shared" si="2"/>
        <v>-</v>
      </c>
      <c r="G15"/>
      <c r="I15" s="429" t="s">
        <v>223</v>
      </c>
      <c r="J15" s="436">
        <v>194.751</v>
      </c>
      <c r="K15" s="45" t="s">
        <v>223</v>
      </c>
      <c r="L15" s="436">
        <v>270.72899999999998</v>
      </c>
      <c r="M15" s="429" t="s">
        <v>223</v>
      </c>
      <c r="N15" s="436">
        <v>373.75299999999999</v>
      </c>
    </row>
    <row r="16" spans="2:14" ht="12.45" customHeight="1" x14ac:dyDescent="0.3">
      <c r="B16" s="650" t="s">
        <v>487</v>
      </c>
      <c r="C16" s="517">
        <f>IFERROR(VLOOKUP($G16,I$4:J$42,2,FALSE),0)</f>
        <v>-24.821000000000002</v>
      </c>
      <c r="D16" s="517">
        <f>IFERROR(VLOOKUP($G16,K$4:L$42,2,FALSE),0)</f>
        <v>-24.536000000000001</v>
      </c>
      <c r="E16" s="517">
        <f>IFERROR(VLOOKUP($G16,M$4:N$42,2,FALSE),0)</f>
        <v>-13.422000000000001</v>
      </c>
      <c r="F16" s="48" t="str">
        <f t="shared" si="2"/>
        <v>-</v>
      </c>
      <c r="G16" s="45" t="s">
        <v>229</v>
      </c>
      <c r="I16" s="429" t="s">
        <v>224</v>
      </c>
      <c r="J16" s="436">
        <v>50.287999999999997</v>
      </c>
      <c r="K16" s="45" t="s">
        <v>224</v>
      </c>
      <c r="L16" s="436">
        <v>64.716999999999999</v>
      </c>
      <c r="M16" s="429" t="s">
        <v>224</v>
      </c>
      <c r="N16" s="436">
        <v>99.951999999999998</v>
      </c>
    </row>
    <row r="17" spans="2:14" ht="12.45" customHeight="1" x14ac:dyDescent="0.3">
      <c r="B17" s="273" t="s">
        <v>483</v>
      </c>
      <c r="C17" s="517">
        <f>IFERROR(VLOOKUP($G17,I$4:J$43,2,FALSE),0)+IFERROR(VLOOKUP($H17,I$4:J$43,2,FALSE),0)</f>
        <v>-6.5750000000000002</v>
      </c>
      <c r="D17" s="517">
        <f>IFERROR(VLOOKUP($G17,K$4:L$43,2,FALSE),0)+IFERROR(VLOOKUP($H17,K$4:L$43,2,FALSE),0)</f>
        <v>-7.3960000000000008</v>
      </c>
      <c r="E17" s="517">
        <f>IFERROR(VLOOKUP($G17,M$4:N$43,2,FALSE),0)+IFERROR(VLOOKUP($H17,M$4:N$43,2,FALSE),0)</f>
        <v>-6.5169999999999995</v>
      </c>
      <c r="F17" s="48" t="str">
        <f t="shared" si="2"/>
        <v>-</v>
      </c>
      <c r="G17" s="45" t="s">
        <v>232</v>
      </c>
      <c r="H17" s="45" t="s">
        <v>234</v>
      </c>
      <c r="I17" s="429" t="s">
        <v>225</v>
      </c>
      <c r="J17" s="436">
        <v>51.970999999999997</v>
      </c>
      <c r="K17" s="45" t="s">
        <v>225</v>
      </c>
      <c r="L17" s="436">
        <v>66.784999999999997</v>
      </c>
      <c r="M17" s="429" t="s">
        <v>225</v>
      </c>
      <c r="N17" s="436">
        <v>102.17100000000001</v>
      </c>
    </row>
    <row r="18" spans="2:14" ht="12.45" customHeight="1" x14ac:dyDescent="0.3">
      <c r="B18" s="273" t="s">
        <v>484</v>
      </c>
      <c r="C18" s="517">
        <f>C15-(C16+C17)</f>
        <v>-13.793999999999826</v>
      </c>
      <c r="D18" s="517">
        <f>D15-(D16+D17)</f>
        <v>-12.513999999999911</v>
      </c>
      <c r="E18" s="517">
        <f>E15-(E16+E17)</f>
        <v>-1.2149999999997689</v>
      </c>
      <c r="F18" s="48" t="str">
        <f>IF(ROUND(D18,1)&gt;0,E18*100/D18,"-")</f>
        <v>-</v>
      </c>
      <c r="I18" s="429" t="s">
        <v>226</v>
      </c>
      <c r="J18" s="436">
        <v>-1.6830000000000001</v>
      </c>
      <c r="K18" s="45" t="s">
        <v>226</v>
      </c>
      <c r="L18" s="436">
        <v>-2.0680000000000001</v>
      </c>
      <c r="M18" s="429" t="s">
        <v>226</v>
      </c>
      <c r="N18" s="436">
        <v>-2.2189999999999999</v>
      </c>
    </row>
    <row r="19" spans="2:14" ht="12.45" customHeight="1" x14ac:dyDescent="0.3">
      <c r="B19" s="648" t="s">
        <v>238</v>
      </c>
      <c r="C19" s="515">
        <f>IFERROR(VLOOKUP($G19,I$4:J$42,2,FALSE),0)</f>
        <v>6</v>
      </c>
      <c r="D19" s="515">
        <f>IFERROR(VLOOKUP($G19,K$4:L$42,2,FALSE),0)</f>
        <v>6</v>
      </c>
      <c r="E19" s="515">
        <f>IFERROR(VLOOKUP($G19,K$4:L$42,2,FALSE),0)</f>
        <v>6</v>
      </c>
      <c r="F19" s="526">
        <f t="shared" ref="F19:F26" si="7">IF(ROUND(D19,1)&gt;0,E19*100/D19,"-")</f>
        <v>100</v>
      </c>
      <c r="G19" s="45" t="s">
        <v>236</v>
      </c>
      <c r="I19" s="429" t="s">
        <v>227</v>
      </c>
      <c r="J19" s="436">
        <v>-8.7279999999999998</v>
      </c>
      <c r="K19" s="45" t="s">
        <v>227</v>
      </c>
      <c r="L19" s="436">
        <v>-17.285</v>
      </c>
      <c r="M19" s="429" t="s">
        <v>227</v>
      </c>
      <c r="N19" s="436">
        <v>-9.9</v>
      </c>
    </row>
    <row r="20" spans="2:14" ht="24" x14ac:dyDescent="0.3">
      <c r="B20" s="273" t="s">
        <v>556</v>
      </c>
      <c r="C20" s="518">
        <f>IFERROR(VLOOKUP($G20,I$4:J$42,2,FALSE),0)</f>
        <v>6</v>
      </c>
      <c r="D20" s="518">
        <f>IFERROR(VLOOKUP($G20,K$4:L$42,2,FALSE),0)</f>
        <v>6</v>
      </c>
      <c r="E20" s="518">
        <f>IFERROR(VLOOKUP($G20,M$4:N$42,2,FALSE),0)</f>
        <v>6</v>
      </c>
      <c r="F20" s="48">
        <f t="shared" si="7"/>
        <v>100</v>
      </c>
      <c r="G20" s="45" t="s">
        <v>237</v>
      </c>
      <c r="I20" s="429" t="s">
        <v>228</v>
      </c>
      <c r="J20" s="436">
        <v>135.63800000000001</v>
      </c>
      <c r="K20" s="45" t="s">
        <v>228</v>
      </c>
      <c r="L20" s="436">
        <v>137.40299999999999</v>
      </c>
      <c r="M20" s="429" t="s">
        <v>228</v>
      </c>
      <c r="N20" s="436">
        <v>143.30699999999999</v>
      </c>
    </row>
    <row r="21" spans="2:14" ht="12.45" customHeight="1" x14ac:dyDescent="0.3">
      <c r="B21" s="273" t="s">
        <v>485</v>
      </c>
      <c r="C21" s="518">
        <f>C19-C20</f>
        <v>0</v>
      </c>
      <c r="D21" s="518">
        <f t="shared" ref="D21:E21" si="8">D19-D20</f>
        <v>0</v>
      </c>
      <c r="E21" s="518">
        <f t="shared" si="8"/>
        <v>0</v>
      </c>
      <c r="F21" s="48" t="str">
        <f t="shared" si="7"/>
        <v>-</v>
      </c>
      <c r="G21"/>
      <c r="I21" s="429" t="s">
        <v>229</v>
      </c>
      <c r="J21" s="436">
        <v>-24.821000000000002</v>
      </c>
      <c r="K21" s="45" t="s">
        <v>229</v>
      </c>
      <c r="L21" s="436">
        <v>-24.536000000000001</v>
      </c>
      <c r="M21" s="429" t="s">
        <v>229</v>
      </c>
      <c r="N21" s="436">
        <v>-13.422000000000001</v>
      </c>
    </row>
    <row r="22" spans="2:14" ht="12.45" customHeight="1" x14ac:dyDescent="0.3">
      <c r="B22" s="651" t="s">
        <v>243</v>
      </c>
      <c r="C22" s="525">
        <f>IFERROR(VLOOKUP($G22,I$4:J$42,2,FALSE),0)</f>
        <v>45.917999999999999</v>
      </c>
      <c r="D22" s="525">
        <f>IFERROR(VLOOKUP($G22,K$4:L$42,2,FALSE),0)</f>
        <v>58.287999999999997</v>
      </c>
      <c r="E22" s="525">
        <f>IFERROR(VLOOKUP($G22,M$4:N$42,2,FALSE),0)</f>
        <v>76.986999999999995</v>
      </c>
      <c r="F22" s="511">
        <f t="shared" si="7"/>
        <v>132.08035959374143</v>
      </c>
      <c r="G22" s="45" t="s">
        <v>241</v>
      </c>
      <c r="I22" s="429" t="s">
        <v>231</v>
      </c>
      <c r="J22" s="436">
        <v>-24.821000000000002</v>
      </c>
      <c r="K22" s="45" t="s">
        <v>231</v>
      </c>
      <c r="L22" s="436">
        <v>-24.536000000000001</v>
      </c>
      <c r="M22" s="429" t="s">
        <v>231</v>
      </c>
      <c r="N22" s="436">
        <v>-13.422000000000001</v>
      </c>
    </row>
    <row r="23" spans="2:14" ht="24" x14ac:dyDescent="0.3">
      <c r="B23" s="650" t="s">
        <v>557</v>
      </c>
      <c r="C23" s="517">
        <f>IFERROR(VLOOKUP($G23,I$4:J$42,2,FALSE),0)</f>
        <v>45.917999999999999</v>
      </c>
      <c r="D23" s="517">
        <f>IFERROR(VLOOKUP($G23,K$4:L$42,2,FALSE),0)</f>
        <v>58.287999999999997</v>
      </c>
      <c r="E23" s="517">
        <f>IFERROR(VLOOKUP($G23,M$4:N$42,2,FALSE),0)</f>
        <v>76.986999999999995</v>
      </c>
      <c r="F23" s="48">
        <f t="shared" si="7"/>
        <v>132.08035959374143</v>
      </c>
      <c r="G23" s="45" t="s">
        <v>242</v>
      </c>
      <c r="I23" s="429" t="s">
        <v>232</v>
      </c>
      <c r="J23" s="436">
        <v>-2.99</v>
      </c>
      <c r="K23" s="45" t="s">
        <v>232</v>
      </c>
      <c r="L23" s="436">
        <v>-3.45</v>
      </c>
      <c r="M23" s="429" t="s">
        <v>546</v>
      </c>
      <c r="N23" s="436">
        <v>-9.3680000000000003</v>
      </c>
    </row>
    <row r="24" spans="2:14" ht="24" x14ac:dyDescent="0.3">
      <c r="B24" s="650" t="s">
        <v>547</v>
      </c>
      <c r="C24" s="517">
        <f>IFERROR(VLOOKUP($G24,I$4:J$42,2,FALSE),0)</f>
        <v>0</v>
      </c>
      <c r="D24" s="517">
        <f>IFERROR(VLOOKUP($G24,K$4:L$42,2,FALSE),0)</f>
        <v>0</v>
      </c>
      <c r="E24" s="517">
        <f>IFERROR(VLOOKUP($G24,M$4:N$42,2,FALSE),0)</f>
        <v>0</v>
      </c>
      <c r="F24" s="48" t="str">
        <f>IF(ROUND(D24,1)&gt;0,E24*100/D24,"-")</f>
        <v>-</v>
      </c>
      <c r="G24" s="628" t="s">
        <v>244</v>
      </c>
      <c r="I24" s="429" t="s">
        <v>233</v>
      </c>
      <c r="J24" s="436">
        <v>0</v>
      </c>
      <c r="K24" s="45" t="s">
        <v>233</v>
      </c>
      <c r="L24" s="436">
        <v>0</v>
      </c>
      <c r="M24" s="429" t="s">
        <v>232</v>
      </c>
      <c r="N24" s="436">
        <v>-3.08</v>
      </c>
    </row>
    <row r="25" spans="2:14" x14ac:dyDescent="0.3">
      <c r="B25" s="650" t="s">
        <v>490</v>
      </c>
      <c r="C25" s="517">
        <f>IFERROR(VLOOKUP($G25,I$4:J$42,2,FALSE),0)</f>
        <v>0</v>
      </c>
      <c r="D25" s="517">
        <f>IFERROR(VLOOKUP($G25,K$4:L$42,2,FALSE),0)</f>
        <v>0</v>
      </c>
      <c r="E25" s="517">
        <f>IFERROR(VLOOKUP($G25,M$4:N$42,2,FALSE),0)</f>
        <v>0</v>
      </c>
      <c r="F25" s="48" t="str">
        <f>IF(ROUND(D25,1)&gt;0,E25*100/D25,"-")</f>
        <v>-</v>
      </c>
      <c r="G25" s="45" t="s">
        <v>245</v>
      </c>
      <c r="I25" s="429" t="s">
        <v>234</v>
      </c>
      <c r="J25" s="436">
        <v>-3.585</v>
      </c>
      <c r="K25" s="45" t="s">
        <v>234</v>
      </c>
      <c r="L25" s="436">
        <v>-3.9460000000000002</v>
      </c>
      <c r="M25" s="429" t="s">
        <v>233</v>
      </c>
      <c r="N25" s="436">
        <v>0</v>
      </c>
    </row>
    <row r="26" spans="2:14" ht="12.45" customHeight="1" thickBot="1" x14ac:dyDescent="0.35">
      <c r="B26" s="652" t="s">
        <v>486</v>
      </c>
      <c r="C26" s="520">
        <f>IFERROR(VLOOKUP($G26,I$4:J$42,2,FALSE),0)+IFERROR(VLOOKUP($H26,I$4:J$42,2,FALSE),0)</f>
        <v>0</v>
      </c>
      <c r="D26" s="520">
        <f>IFERROR(VLOOKUP($G26,K$4:L$42,2,FALSE),0)+IFERROR(VLOOKUP($H26,K$4:L$42,2,FALSE),0)</f>
        <v>0</v>
      </c>
      <c r="E26" s="520">
        <f>IFERROR(VLOOKUP($G26,M$4:N$42,2,FALSE),0)+IFERROR(VLOOKUP($H26,M$4:N$42,2,FALSE),0)</f>
        <v>0</v>
      </c>
      <c r="F26" s="527" t="str">
        <f t="shared" si="7"/>
        <v>-</v>
      </c>
      <c r="G26" s="45" t="s">
        <v>246</v>
      </c>
      <c r="H26" s="45" t="s">
        <v>247</v>
      </c>
      <c r="I26" s="429" t="s">
        <v>235</v>
      </c>
      <c r="J26" s="436">
        <v>-11.007</v>
      </c>
      <c r="K26" s="45" t="s">
        <v>235</v>
      </c>
      <c r="L26" s="436">
        <v>-11.007</v>
      </c>
      <c r="M26" s="429" t="s">
        <v>234</v>
      </c>
      <c r="N26" s="436">
        <v>-3.4369999999999998</v>
      </c>
    </row>
    <row r="27" spans="2:14" ht="24.75" customHeight="1" x14ac:dyDescent="0.3">
      <c r="G27" s="524" t="s">
        <v>492</v>
      </c>
      <c r="H27" s="524" t="s">
        <v>491</v>
      </c>
      <c r="I27" s="429" t="s">
        <v>236</v>
      </c>
      <c r="J27" s="436">
        <v>6</v>
      </c>
      <c r="K27" s="45" t="s">
        <v>236</v>
      </c>
      <c r="L27" s="436">
        <v>6</v>
      </c>
      <c r="M27" s="429" t="s">
        <v>235</v>
      </c>
      <c r="N27" s="436">
        <v>0</v>
      </c>
    </row>
    <row r="28" spans="2:14" x14ac:dyDescent="0.3">
      <c r="B28" s="627"/>
      <c r="G28" s="628"/>
      <c r="I28" s="429" t="s">
        <v>237</v>
      </c>
      <c r="J28" s="436">
        <v>6</v>
      </c>
      <c r="K28" s="45" t="s">
        <v>237</v>
      </c>
      <c r="L28" s="436">
        <v>6</v>
      </c>
      <c r="M28" s="429" t="s">
        <v>236</v>
      </c>
      <c r="N28" s="436">
        <v>6</v>
      </c>
    </row>
    <row r="29" spans="2:14" x14ac:dyDescent="0.3">
      <c r="G29"/>
      <c r="I29" s="429" t="s">
        <v>567</v>
      </c>
      <c r="J29" s="436">
        <v>6</v>
      </c>
      <c r="K29" s="426" t="s">
        <v>567</v>
      </c>
      <c r="L29" s="436">
        <v>6</v>
      </c>
      <c r="M29" s="430" t="s">
        <v>237</v>
      </c>
      <c r="N29" s="436">
        <v>6</v>
      </c>
    </row>
    <row r="30" spans="2:14" x14ac:dyDescent="0.3">
      <c r="G30"/>
      <c r="I30" s="429" t="s">
        <v>239</v>
      </c>
      <c r="J30" s="436">
        <v>0</v>
      </c>
      <c r="K30" s="426" t="s">
        <v>239</v>
      </c>
      <c r="L30" s="436">
        <v>0</v>
      </c>
      <c r="M30" s="430" t="s">
        <v>567</v>
      </c>
      <c r="N30" s="436">
        <v>6</v>
      </c>
    </row>
    <row r="31" spans="2:14" x14ac:dyDescent="0.3">
      <c r="I31" s="429" t="s">
        <v>240</v>
      </c>
      <c r="J31" s="436">
        <v>0</v>
      </c>
      <c r="K31" s="45" t="s">
        <v>240</v>
      </c>
      <c r="L31" s="436">
        <v>0</v>
      </c>
      <c r="M31" s="429" t="s">
        <v>239</v>
      </c>
      <c r="N31" s="436">
        <v>0</v>
      </c>
    </row>
    <row r="32" spans="2:14" x14ac:dyDescent="0.3">
      <c r="I32" s="429" t="s">
        <v>241</v>
      </c>
      <c r="J32" s="436">
        <v>45.917999999999999</v>
      </c>
      <c r="K32" s="45" t="s">
        <v>241</v>
      </c>
      <c r="L32" s="436">
        <v>58.287999999999997</v>
      </c>
      <c r="M32" s="429" t="s">
        <v>240</v>
      </c>
      <c r="N32" s="436">
        <v>0</v>
      </c>
    </row>
    <row r="33" spans="1:14" ht="15" customHeight="1" x14ac:dyDescent="0.3">
      <c r="I33" s="429" t="s">
        <v>242</v>
      </c>
      <c r="J33" s="436">
        <v>45.917999999999999</v>
      </c>
      <c r="K33" s="45" t="s">
        <v>242</v>
      </c>
      <c r="L33" s="436">
        <v>58.287999999999997</v>
      </c>
      <c r="M33" s="429" t="s">
        <v>241</v>
      </c>
      <c r="N33" s="436">
        <v>76.986999999999995</v>
      </c>
    </row>
    <row r="34" spans="1:14" ht="15" customHeight="1" x14ac:dyDescent="0.3">
      <c r="G34"/>
      <c r="I34" s="429" t="s">
        <v>568</v>
      </c>
      <c r="J34" s="436">
        <v>45.917999999999999</v>
      </c>
      <c r="K34" s="45" t="s">
        <v>568</v>
      </c>
      <c r="L34" s="436">
        <v>58.287999999999997</v>
      </c>
      <c r="M34" s="429" t="s">
        <v>242</v>
      </c>
      <c r="N34" s="436">
        <v>76.986999999999995</v>
      </c>
    </row>
    <row r="35" spans="1:14" ht="15" customHeight="1" x14ac:dyDescent="0.3">
      <c r="G35"/>
      <c r="I35" s="429" t="s">
        <v>245</v>
      </c>
      <c r="J35" s="436">
        <v>0</v>
      </c>
      <c r="K35" s="45" t="s">
        <v>245</v>
      </c>
      <c r="L35" s="436">
        <v>0</v>
      </c>
      <c r="M35" s="429" t="s">
        <v>568</v>
      </c>
      <c r="N35" s="436">
        <v>76.986999999999995</v>
      </c>
    </row>
    <row r="36" spans="1:14" ht="15" customHeight="1" x14ac:dyDescent="0.3">
      <c r="G36"/>
      <c r="I36" s="429" t="s">
        <v>246</v>
      </c>
      <c r="J36" s="436">
        <v>0</v>
      </c>
      <c r="K36" s="45" t="s">
        <v>246</v>
      </c>
      <c r="L36" s="436">
        <v>0</v>
      </c>
      <c r="M36" s="429" t="s">
        <v>245</v>
      </c>
      <c r="N36" s="436">
        <v>0</v>
      </c>
    </row>
    <row r="37" spans="1:14" ht="15" customHeight="1" x14ac:dyDescent="0.3">
      <c r="G37"/>
      <c r="I37" s="429" t="s">
        <v>247</v>
      </c>
      <c r="J37" s="436">
        <v>0</v>
      </c>
      <c r="K37" s="45" t="s">
        <v>247</v>
      </c>
      <c r="L37" s="436">
        <v>0</v>
      </c>
      <c r="M37" s="429" t="s">
        <v>246</v>
      </c>
      <c r="N37" s="436">
        <v>0</v>
      </c>
    </row>
    <row r="38" spans="1:14" ht="15" customHeight="1" x14ac:dyDescent="0.3">
      <c r="G38"/>
      <c r="I38" s="429"/>
      <c r="J38" s="436"/>
      <c r="L38" s="436"/>
      <c r="M38" s="429" t="s">
        <v>247</v>
      </c>
      <c r="N38" s="436">
        <v>0</v>
      </c>
    </row>
    <row r="39" spans="1:14" ht="15" customHeight="1" x14ac:dyDescent="0.3">
      <c r="G39"/>
      <c r="I39" s="429"/>
      <c r="J39" s="436"/>
      <c r="L39" s="436"/>
      <c r="M39" s="429"/>
      <c r="N39" s="436"/>
    </row>
    <row r="40" spans="1:14" ht="15" customHeight="1" x14ac:dyDescent="0.3">
      <c r="G40"/>
      <c r="I40" s="429"/>
      <c r="J40" s="436"/>
      <c r="L40" s="436"/>
      <c r="M40" s="429"/>
      <c r="N40" s="436"/>
    </row>
    <row r="41" spans="1:14" ht="15" customHeight="1" x14ac:dyDescent="0.3">
      <c r="G41"/>
      <c r="I41" s="429"/>
      <c r="J41" s="436"/>
      <c r="L41" s="436"/>
      <c r="M41" s="429"/>
      <c r="N41" s="436"/>
    </row>
    <row r="42" spans="1:14" ht="15" customHeight="1" x14ac:dyDescent="0.3">
      <c r="I42" s="431"/>
      <c r="J42" s="437"/>
      <c r="K42" s="431"/>
      <c r="L42" s="437"/>
      <c r="M42" s="431"/>
      <c r="N42" s="437"/>
    </row>
    <row r="43" spans="1:14" ht="15" customHeight="1" x14ac:dyDescent="0.3">
      <c r="J43" s="427"/>
      <c r="L43" s="427"/>
      <c r="N43" s="427"/>
    </row>
    <row r="44" spans="1:14" ht="14.4" hidden="1" customHeight="1" x14ac:dyDescent="0.3">
      <c r="A44" s="46" t="s">
        <v>5</v>
      </c>
      <c r="B44" s="46"/>
      <c r="C44" s="46"/>
      <c r="D44" s="46"/>
      <c r="E44" s="46"/>
      <c r="F44" s="256" t="s">
        <v>310</v>
      </c>
      <c r="J44" s="427"/>
      <c r="L44" s="427"/>
      <c r="N44" s="427"/>
    </row>
    <row r="45" spans="1:14" ht="14.4" hidden="1" customHeight="1" x14ac:dyDescent="0.3">
      <c r="A45" s="843" t="s">
        <v>10</v>
      </c>
      <c r="B45" s="844"/>
      <c r="C45" s="432" t="str">
        <f>LEFT(I3,4)</f>
        <v>2022</v>
      </c>
      <c r="D45" s="433" t="str">
        <f>LEFT(K3,4)</f>
        <v>2023</v>
      </c>
      <c r="E45" s="433" t="str">
        <f>LEFT(M3,4)</f>
        <v>2024</v>
      </c>
      <c r="F45" s="218" t="s">
        <v>9</v>
      </c>
      <c r="J45" s="427"/>
      <c r="L45" s="427"/>
      <c r="N45" s="427"/>
    </row>
    <row r="46" spans="1:14" ht="22.2" hidden="1" customHeight="1" x14ac:dyDescent="0.3">
      <c r="A46" s="219" t="s">
        <v>4</v>
      </c>
      <c r="B46" s="220" t="s">
        <v>32</v>
      </c>
      <c r="C46" s="428">
        <f t="shared" ref="C46:C69" si="9">IFERROR(VLOOKUP($G46,I$4:J$42,2,FALSE),0)</f>
        <v>1089.299</v>
      </c>
      <c r="D46" s="222">
        <f t="shared" ref="D46:D69" si="10">IFERROR(VLOOKUP($G46,K$4:L$42,2,FALSE),0)</f>
        <v>1188.3019999999999</v>
      </c>
      <c r="E46" s="222">
        <f t="shared" ref="E46:E69" si="11">IFERROR(VLOOKUP($G46,M$4:N$42,2,FALSE),0)</f>
        <v>1386.8430000000001</v>
      </c>
      <c r="F46" s="223">
        <f t="shared" ref="F46:F55" si="12">IF(D46&gt;0,E46*100/D46,"-")</f>
        <v>116.70795807799703</v>
      </c>
      <c r="G46" s="45" t="s">
        <v>210</v>
      </c>
      <c r="J46" s="427"/>
      <c r="L46" s="427"/>
      <c r="N46" s="427"/>
    </row>
    <row r="47" spans="1:14" ht="17.25" hidden="1" customHeight="1" x14ac:dyDescent="0.3">
      <c r="A47" s="224" t="s">
        <v>33</v>
      </c>
      <c r="B47" s="225" t="s">
        <v>34</v>
      </c>
      <c r="C47" s="226">
        <f t="shared" si="9"/>
        <v>1043.3800000000001</v>
      </c>
      <c r="D47" s="227">
        <f t="shared" si="10"/>
        <v>1130.0150000000001</v>
      </c>
      <c r="E47" s="227">
        <f t="shared" si="11"/>
        <v>1309.855</v>
      </c>
      <c r="F47" s="228">
        <f t="shared" si="12"/>
        <v>115.91483298894262</v>
      </c>
      <c r="G47" s="45" t="s">
        <v>211</v>
      </c>
      <c r="J47" s="427"/>
      <c r="L47" s="427"/>
      <c r="N47" s="427"/>
    </row>
    <row r="48" spans="1:14" ht="27" hidden="1" customHeight="1" x14ac:dyDescent="0.3">
      <c r="A48" s="219" t="s">
        <v>67</v>
      </c>
      <c r="B48" s="220" t="s">
        <v>63</v>
      </c>
      <c r="C48" s="221">
        <f t="shared" si="9"/>
        <v>1037.3800000000001</v>
      </c>
      <c r="D48" s="222">
        <f t="shared" si="10"/>
        <v>1124.0150000000001</v>
      </c>
      <c r="E48" s="222">
        <f t="shared" si="11"/>
        <v>1303.855</v>
      </c>
      <c r="F48" s="223">
        <f t="shared" si="12"/>
        <v>115.99978647971778</v>
      </c>
      <c r="G48" s="45" t="s">
        <v>212</v>
      </c>
      <c r="J48" s="427"/>
      <c r="L48" s="427"/>
      <c r="N48" s="427"/>
    </row>
    <row r="49" spans="1:14" ht="14.4" hidden="1" customHeight="1" x14ac:dyDescent="0.3">
      <c r="A49" s="229" t="s">
        <v>35</v>
      </c>
      <c r="B49" s="230" t="s">
        <v>548</v>
      </c>
      <c r="C49" s="231">
        <f t="shared" si="9"/>
        <v>693.36500000000001</v>
      </c>
      <c r="D49" s="232">
        <f t="shared" si="10"/>
        <v>695.64099999999996</v>
      </c>
      <c r="E49" s="232">
        <f t="shared" si="11"/>
        <v>700.64099999999996</v>
      </c>
      <c r="F49" s="233">
        <f>IF(D49&gt;0,E49*100/D49,"-")</f>
        <v>100.71876154510731</v>
      </c>
      <c r="G49" s="45" t="s">
        <v>214</v>
      </c>
      <c r="J49" s="427"/>
      <c r="L49" s="427"/>
      <c r="N49" s="427"/>
    </row>
    <row r="50" spans="1:14" ht="14.4" hidden="1" customHeight="1" x14ac:dyDescent="0.3">
      <c r="A50" s="229" t="s">
        <v>36</v>
      </c>
      <c r="B50" s="230" t="s">
        <v>37</v>
      </c>
      <c r="C50" s="231">
        <f t="shared" si="9"/>
        <v>17.256</v>
      </c>
      <c r="D50" s="232">
        <f t="shared" si="10"/>
        <v>17.256</v>
      </c>
      <c r="E50" s="232">
        <f t="shared" si="11"/>
        <v>17.256</v>
      </c>
      <c r="F50" s="233">
        <f t="shared" si="12"/>
        <v>100</v>
      </c>
      <c r="G50" s="45" t="s">
        <v>216</v>
      </c>
      <c r="J50" s="427"/>
      <c r="L50" s="427"/>
      <c r="N50" s="427"/>
    </row>
    <row r="51" spans="1:14" ht="25.5" hidden="1" customHeight="1" x14ac:dyDescent="0.3">
      <c r="A51" s="229" t="s">
        <v>38</v>
      </c>
      <c r="B51" s="230" t="s">
        <v>220</v>
      </c>
      <c r="C51" s="231">
        <f t="shared" si="9"/>
        <v>-2.5640000000000001</v>
      </c>
      <c r="D51" s="232">
        <f t="shared" si="10"/>
        <v>-1.508</v>
      </c>
      <c r="E51" s="232">
        <f t="shared" si="11"/>
        <v>-1.2150000000000001</v>
      </c>
      <c r="F51" s="223" t="str">
        <f t="shared" si="12"/>
        <v>-</v>
      </c>
      <c r="G51" s="45" t="s">
        <v>219</v>
      </c>
      <c r="J51" s="427"/>
      <c r="L51" s="427"/>
      <c r="N51" s="427"/>
    </row>
    <row r="52" spans="1:14" ht="14.4" hidden="1" customHeight="1" x14ac:dyDescent="0.3">
      <c r="A52" s="229" t="s">
        <v>40</v>
      </c>
      <c r="B52" s="230" t="s">
        <v>39</v>
      </c>
      <c r="C52" s="231">
        <f t="shared" si="9"/>
        <v>194.751</v>
      </c>
      <c r="D52" s="232">
        <f t="shared" si="10"/>
        <v>270.72899999999998</v>
      </c>
      <c r="E52" s="232">
        <f t="shared" si="11"/>
        <v>373.75299999999999</v>
      </c>
      <c r="F52" s="233">
        <f t="shared" si="12"/>
        <v>138.05429045281443</v>
      </c>
      <c r="G52" s="45" t="s">
        <v>223</v>
      </c>
      <c r="J52" s="427"/>
      <c r="L52" s="427"/>
      <c r="N52" s="427"/>
    </row>
    <row r="53" spans="1:14" ht="14.4" hidden="1" customHeight="1" x14ac:dyDescent="0.3">
      <c r="A53" s="229" t="s">
        <v>42</v>
      </c>
      <c r="B53" s="230" t="s">
        <v>41</v>
      </c>
      <c r="C53" s="231">
        <f t="shared" si="9"/>
        <v>50.287999999999997</v>
      </c>
      <c r="D53" s="232">
        <f t="shared" si="10"/>
        <v>64.716999999999999</v>
      </c>
      <c r="E53" s="232">
        <f t="shared" si="11"/>
        <v>99.951999999999998</v>
      </c>
      <c r="F53" s="233">
        <f t="shared" si="12"/>
        <v>154.44473631348797</v>
      </c>
      <c r="G53" s="45" t="s">
        <v>224</v>
      </c>
      <c r="J53" s="427"/>
      <c r="L53" s="427"/>
      <c r="N53" s="427"/>
    </row>
    <row r="54" spans="1:14" ht="14.4" hidden="1" customHeight="1" x14ac:dyDescent="0.3">
      <c r="A54" s="229" t="s">
        <v>44</v>
      </c>
      <c r="B54" s="230" t="s">
        <v>43</v>
      </c>
      <c r="C54" s="231">
        <f t="shared" si="9"/>
        <v>-8.7279999999999998</v>
      </c>
      <c r="D54" s="232">
        <f t="shared" si="10"/>
        <v>-17.285</v>
      </c>
      <c r="E54" s="232">
        <f t="shared" si="11"/>
        <v>-9.9</v>
      </c>
      <c r="F54" s="233" t="str">
        <f t="shared" si="12"/>
        <v>-</v>
      </c>
      <c r="G54" s="45" t="s">
        <v>227</v>
      </c>
      <c r="J54" s="427"/>
      <c r="L54" s="427"/>
      <c r="N54" s="427"/>
    </row>
    <row r="55" spans="1:14" ht="14.4" hidden="1" customHeight="1" x14ac:dyDescent="0.3">
      <c r="A55" s="229" t="s">
        <v>46</v>
      </c>
      <c r="B55" s="230" t="s">
        <v>45</v>
      </c>
      <c r="C55" s="231">
        <f t="shared" si="9"/>
        <v>135.63800000000001</v>
      </c>
      <c r="D55" s="232">
        <f t="shared" si="10"/>
        <v>137.40299999999999</v>
      </c>
      <c r="E55" s="232">
        <f t="shared" si="11"/>
        <v>143.30699999999999</v>
      </c>
      <c r="F55" s="233">
        <f t="shared" si="12"/>
        <v>104.29684941376826</v>
      </c>
      <c r="G55" s="45" t="s">
        <v>228</v>
      </c>
      <c r="J55" s="427"/>
      <c r="L55" s="427"/>
      <c r="N55" s="427"/>
    </row>
    <row r="56" spans="1:14" ht="14.4" hidden="1" customHeight="1" x14ac:dyDescent="0.3">
      <c r="A56" s="229" t="s">
        <v>47</v>
      </c>
      <c r="B56" s="230" t="s">
        <v>64</v>
      </c>
      <c r="C56" s="231">
        <f t="shared" si="9"/>
        <v>-24.821000000000002</v>
      </c>
      <c r="D56" s="232">
        <f t="shared" si="10"/>
        <v>-24.536000000000001</v>
      </c>
      <c r="E56" s="232">
        <f t="shared" si="11"/>
        <v>-13.422000000000001</v>
      </c>
      <c r="F56" s="233">
        <f>IF(D56&lt;&gt;0,E56*100/D56,"-")</f>
        <v>54.703293120313006</v>
      </c>
      <c r="G56" s="45" t="s">
        <v>229</v>
      </c>
      <c r="J56" s="427"/>
      <c r="L56" s="427"/>
      <c r="N56" s="427"/>
    </row>
    <row r="57" spans="1:14" ht="36" hidden="1" customHeight="1" x14ac:dyDescent="0.3">
      <c r="A57" s="229" t="s">
        <v>48</v>
      </c>
      <c r="B57" s="230" t="s">
        <v>137</v>
      </c>
      <c r="C57" s="231">
        <f t="shared" si="9"/>
        <v>-2.99</v>
      </c>
      <c r="D57" s="232">
        <f t="shared" si="10"/>
        <v>-3.45</v>
      </c>
      <c r="E57" s="232">
        <f t="shared" si="11"/>
        <v>-3.08</v>
      </c>
      <c r="F57" s="233">
        <f>IF(D57&lt;&gt;0,E57*100/D57,"-")</f>
        <v>89.275362318840578</v>
      </c>
      <c r="G57" s="45" t="s">
        <v>232</v>
      </c>
    </row>
    <row r="58" spans="1:14" ht="24" hidden="1" customHeight="1" x14ac:dyDescent="0.3">
      <c r="A58" s="229" t="s">
        <v>136</v>
      </c>
      <c r="B58" s="230" t="s">
        <v>49</v>
      </c>
      <c r="C58" s="231">
        <f t="shared" si="9"/>
        <v>0</v>
      </c>
      <c r="D58" s="232">
        <f t="shared" si="10"/>
        <v>0</v>
      </c>
      <c r="E58" s="232">
        <f t="shared" si="11"/>
        <v>0</v>
      </c>
      <c r="F58" s="233" t="str">
        <f>IF(D58&gt;0,E58*100/D58,"-")</f>
        <v>-</v>
      </c>
      <c r="G58" s="45" t="s">
        <v>233</v>
      </c>
    </row>
    <row r="59" spans="1:14" ht="24" hidden="1" customHeight="1" x14ac:dyDescent="0.3">
      <c r="A59" s="229" t="s">
        <v>230</v>
      </c>
      <c r="B59" s="230" t="s">
        <v>138</v>
      </c>
      <c r="C59" s="231">
        <f t="shared" si="9"/>
        <v>-3.585</v>
      </c>
      <c r="D59" s="232">
        <f t="shared" si="10"/>
        <v>-3.9460000000000002</v>
      </c>
      <c r="E59" s="232">
        <f t="shared" si="11"/>
        <v>-3.4369999999999998</v>
      </c>
      <c r="F59" s="233">
        <f>IF(D59&lt;&gt;0,E59*100/D59,"-")</f>
        <v>87.100861632032434</v>
      </c>
      <c r="G59" s="45" t="s">
        <v>234</v>
      </c>
    </row>
    <row r="60" spans="1:14" ht="14.4" hidden="1" customHeight="1" x14ac:dyDescent="0.3">
      <c r="A60" s="219" t="s">
        <v>68</v>
      </c>
      <c r="B60" s="220" t="s">
        <v>65</v>
      </c>
      <c r="C60" s="221">
        <f t="shared" si="9"/>
        <v>6</v>
      </c>
      <c r="D60" s="222">
        <f t="shared" si="10"/>
        <v>6</v>
      </c>
      <c r="E60" s="222">
        <f t="shared" si="11"/>
        <v>6</v>
      </c>
      <c r="F60" s="223">
        <f t="shared" ref="F60:F69" si="13">IF(D60&gt;0,E60*100/D60,"-")</f>
        <v>100</v>
      </c>
      <c r="G60" s="45" t="s">
        <v>236</v>
      </c>
    </row>
    <row r="61" spans="1:14" ht="24" hidden="1" customHeight="1" x14ac:dyDescent="0.3">
      <c r="A61" s="229" t="s">
        <v>50</v>
      </c>
      <c r="B61" s="230" t="s">
        <v>549</v>
      </c>
      <c r="C61" s="231">
        <f t="shared" si="9"/>
        <v>6</v>
      </c>
      <c r="D61" s="232">
        <f t="shared" si="10"/>
        <v>6</v>
      </c>
      <c r="E61" s="232">
        <f t="shared" si="11"/>
        <v>6</v>
      </c>
      <c r="F61" s="233">
        <f t="shared" si="13"/>
        <v>100</v>
      </c>
      <c r="G61" s="45" t="s">
        <v>237</v>
      </c>
    </row>
    <row r="62" spans="1:14" ht="24" hidden="1" customHeight="1" x14ac:dyDescent="0.3">
      <c r="A62" s="229" t="s">
        <v>51</v>
      </c>
      <c r="B62" s="230" t="s">
        <v>52</v>
      </c>
      <c r="C62" s="231">
        <f t="shared" si="9"/>
        <v>0</v>
      </c>
      <c r="D62" s="232">
        <f t="shared" si="10"/>
        <v>0</v>
      </c>
      <c r="E62" s="232">
        <f t="shared" si="11"/>
        <v>0</v>
      </c>
      <c r="F62" s="233" t="str">
        <f t="shared" si="13"/>
        <v>-</v>
      </c>
      <c r="G62" s="45" t="s">
        <v>239</v>
      </c>
    </row>
    <row r="63" spans="1:14" ht="36" hidden="1" customHeight="1" x14ac:dyDescent="0.3">
      <c r="A63" s="234" t="s">
        <v>53</v>
      </c>
      <c r="B63" s="235" t="s">
        <v>54</v>
      </c>
      <c r="C63" s="236">
        <f t="shared" si="9"/>
        <v>0</v>
      </c>
      <c r="D63" s="237">
        <f t="shared" si="10"/>
        <v>0</v>
      </c>
      <c r="E63" s="237">
        <f t="shared" si="11"/>
        <v>0</v>
      </c>
      <c r="F63" s="233" t="str">
        <f>IF(D63&gt;0,E63*100/D63,"-")</f>
        <v>-</v>
      </c>
      <c r="G63" s="45" t="s">
        <v>240</v>
      </c>
    </row>
    <row r="64" spans="1:14" ht="14.4" hidden="1" customHeight="1" x14ac:dyDescent="0.3">
      <c r="A64" s="219" t="s">
        <v>55</v>
      </c>
      <c r="B64" s="220" t="s">
        <v>66</v>
      </c>
      <c r="C64" s="221">
        <f t="shared" si="9"/>
        <v>45.917999999999999</v>
      </c>
      <c r="D64" s="222">
        <f t="shared" si="10"/>
        <v>58.287999999999997</v>
      </c>
      <c r="E64" s="222">
        <f t="shared" si="11"/>
        <v>76.986999999999995</v>
      </c>
      <c r="F64" s="223">
        <f t="shared" si="13"/>
        <v>132.08035959374143</v>
      </c>
      <c r="G64" s="45" t="s">
        <v>241</v>
      </c>
    </row>
    <row r="65" spans="1:7" ht="24" hidden="1" customHeight="1" x14ac:dyDescent="0.3">
      <c r="A65" s="229" t="s">
        <v>56</v>
      </c>
      <c r="B65" s="230" t="s">
        <v>550</v>
      </c>
      <c r="C65" s="231">
        <f t="shared" si="9"/>
        <v>45.917999999999999</v>
      </c>
      <c r="D65" s="232">
        <f t="shared" si="10"/>
        <v>58.287999999999997</v>
      </c>
      <c r="E65" s="232">
        <f t="shared" si="11"/>
        <v>76.986999999999995</v>
      </c>
      <c r="F65" s="233">
        <f t="shared" si="13"/>
        <v>132.08035959374143</v>
      </c>
      <c r="G65" s="45" t="s">
        <v>242</v>
      </c>
    </row>
    <row r="66" spans="1:7" ht="24" hidden="1" customHeight="1" x14ac:dyDescent="0.3">
      <c r="A66" s="229"/>
      <c r="B66" s="627" t="s">
        <v>547</v>
      </c>
      <c r="C66" s="231">
        <f>IFERROR(VLOOKUP($G66,I$4:J$42,2,FALSE),0)</f>
        <v>0</v>
      </c>
      <c r="D66" s="232">
        <f>IFERROR(VLOOKUP($G66,K$4:L$42,2,FALSE),0)</f>
        <v>0</v>
      </c>
      <c r="E66" s="232">
        <f>IFERROR(VLOOKUP($G66,M$4:N$42,2,FALSE),0)</f>
        <v>0</v>
      </c>
      <c r="F66" s="233" t="str">
        <f t="shared" si="13"/>
        <v>-</v>
      </c>
      <c r="G66" s="45" t="s">
        <v>244</v>
      </c>
    </row>
    <row r="67" spans="1:7" ht="24" hidden="1" customHeight="1" x14ac:dyDescent="0.3">
      <c r="A67" s="229" t="s">
        <v>57</v>
      </c>
      <c r="B67" s="230" t="s">
        <v>58</v>
      </c>
      <c r="C67" s="231">
        <f>IFERROR(VLOOKUP($G67,I$4:J$42,2,FALSE),0)</f>
        <v>0</v>
      </c>
      <c r="D67" s="232">
        <f t="shared" si="10"/>
        <v>0</v>
      </c>
      <c r="E67" s="232">
        <f t="shared" si="11"/>
        <v>0</v>
      </c>
      <c r="F67" s="233" t="str">
        <f t="shared" si="13"/>
        <v>-</v>
      </c>
      <c r="G67" s="45" t="s">
        <v>245</v>
      </c>
    </row>
    <row r="68" spans="1:7" ht="24" hidden="1" customHeight="1" x14ac:dyDescent="0.3">
      <c r="A68" s="229" t="s">
        <v>59</v>
      </c>
      <c r="B68" s="230" t="s">
        <v>60</v>
      </c>
      <c r="C68" s="231">
        <f t="shared" si="9"/>
        <v>0</v>
      </c>
      <c r="D68" s="232">
        <f t="shared" si="10"/>
        <v>0</v>
      </c>
      <c r="E68" s="232">
        <f t="shared" si="11"/>
        <v>0</v>
      </c>
      <c r="F68" s="233" t="str">
        <f t="shared" si="13"/>
        <v>-</v>
      </c>
      <c r="G68" s="45" t="s">
        <v>246</v>
      </c>
    </row>
    <row r="69" spans="1:7" ht="24.6" hidden="1" customHeight="1" x14ac:dyDescent="0.3">
      <c r="A69" s="238" t="s">
        <v>61</v>
      </c>
      <c r="B69" s="239" t="s">
        <v>62</v>
      </c>
      <c r="C69" s="240">
        <f t="shared" si="9"/>
        <v>0</v>
      </c>
      <c r="D69" s="241">
        <f t="shared" si="10"/>
        <v>0</v>
      </c>
      <c r="E69" s="241">
        <f t="shared" si="11"/>
        <v>0</v>
      </c>
      <c r="F69" s="242" t="str">
        <f t="shared" si="13"/>
        <v>-</v>
      </c>
      <c r="G69" s="45" t="s">
        <v>247</v>
      </c>
    </row>
  </sheetData>
  <customSheetViews>
    <customSheetView guid="{5507C501-9942-4310-9E0E-987180BD1180}">
      <selection sqref="A1:D1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sqref="A1:D1"/>
      <pageMargins left="0.7" right="0.7" top="0.75" bottom="0.75" header="0.3" footer="0.3"/>
      <pageSetup paperSize="9" orientation="portrait" verticalDpi="0" r:id="rId2"/>
    </customSheetView>
  </customSheetViews>
  <mergeCells count="4">
    <mergeCell ref="A45:B45"/>
    <mergeCell ref="I3:J3"/>
    <mergeCell ref="K3:L3"/>
    <mergeCell ref="M3:N3"/>
  </mergeCells>
  <phoneticPr fontId="18" type="noConversion"/>
  <pageMargins left="0.7" right="0.7" top="0.75" bottom="0.75" header="0.3" footer="0.3"/>
  <pageSetup paperSize="9" scale="79" orientation="portrait" verticalDpi="0" r:id="rId3"/>
  <ignoredErrors>
    <ignoredError sqref="C8:C10 F58:F59 D8:E8 C16 D15:E15 C20:E20 E16 D19 C21:E21 C12 C14:C15 D10:E14 D9" formula="1"/>
    <ignoredError sqref="G5:G14 G67:G69 G16:G17 H17 H26 G19:G26 G46:G66" numberStoredAsText="1"/>
  </ignoredError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5D944-CB99-4B64-A03C-BE963110E343}">
  <sheetPr codeName="Sheet133"/>
  <dimension ref="A1:F12"/>
  <sheetViews>
    <sheetView showGridLines="0" topLeftCell="B1" zoomScaleNormal="100" workbookViewId="0">
      <selection activeCell="C22" sqref="C22"/>
    </sheetView>
  </sheetViews>
  <sheetFormatPr defaultColWidth="8.6640625" defaultRowHeight="14.4" x14ac:dyDescent="0.3"/>
  <cols>
    <col min="1" max="1" width="5.33203125" hidden="1" customWidth="1"/>
    <col min="2" max="2" width="37.44140625" customWidth="1"/>
    <col min="3" max="6" width="12.5546875" customWidth="1"/>
    <col min="9" max="9" width="10.109375" bestFit="1" customWidth="1"/>
    <col min="10" max="10" width="11.33203125" customWidth="1"/>
  </cols>
  <sheetData>
    <row r="1" spans="2:6" x14ac:dyDescent="0.3">
      <c r="F1" s="403"/>
    </row>
    <row r="2" spans="2:6" x14ac:dyDescent="0.3">
      <c r="B2" s="46" t="s">
        <v>523</v>
      </c>
      <c r="C2" s="47"/>
      <c r="D2" s="47"/>
      <c r="E2" s="47"/>
      <c r="F2" s="47"/>
    </row>
    <row r="3" spans="2:6" ht="36" x14ac:dyDescent="0.3">
      <c r="B3" s="559" t="s">
        <v>147</v>
      </c>
      <c r="C3" s="161" t="s">
        <v>496</v>
      </c>
      <c r="D3" s="161" t="s">
        <v>308</v>
      </c>
      <c r="E3" s="161" t="s">
        <v>309</v>
      </c>
      <c r="F3" s="161" t="s">
        <v>13</v>
      </c>
    </row>
    <row r="4" spans="2:6" x14ac:dyDescent="0.3">
      <c r="B4" s="554" t="s">
        <v>560</v>
      </c>
      <c r="C4" s="555"/>
      <c r="D4" s="555"/>
      <c r="E4" s="555"/>
      <c r="F4" s="555"/>
    </row>
    <row r="5" spans="2:6" x14ac:dyDescent="0.3">
      <c r="B5" s="548" t="s">
        <v>527</v>
      </c>
      <c r="C5" s="549">
        <v>170</v>
      </c>
      <c r="D5" s="549">
        <v>107</v>
      </c>
      <c r="E5" s="48">
        <v>6334</v>
      </c>
      <c r="F5" s="48">
        <v>424</v>
      </c>
    </row>
    <row r="6" spans="2:6" ht="24" x14ac:dyDescent="0.3">
      <c r="B6" s="550" t="s">
        <v>526</v>
      </c>
      <c r="C6" s="48">
        <v>29</v>
      </c>
      <c r="D6" s="48">
        <v>21</v>
      </c>
      <c r="E6" s="48">
        <v>4075</v>
      </c>
      <c r="F6" s="48">
        <v>127</v>
      </c>
    </row>
    <row r="7" spans="2:6" ht="14.1" customHeight="1" thickBot="1" x14ac:dyDescent="0.35">
      <c r="B7" s="558" t="s">
        <v>16</v>
      </c>
      <c r="C7" s="553">
        <f>C5+C6</f>
        <v>199</v>
      </c>
      <c r="D7" s="553">
        <f>D5+D6</f>
        <v>128</v>
      </c>
      <c r="E7" s="553">
        <f t="shared" ref="E7:F7" si="0">E5+E6</f>
        <v>10409</v>
      </c>
      <c r="F7" s="553">
        <f t="shared" si="0"/>
        <v>551</v>
      </c>
    </row>
    <row r="8" spans="2:6" ht="14.1" customHeight="1" x14ac:dyDescent="0.3">
      <c r="B8" s="556" t="s">
        <v>558</v>
      </c>
      <c r="C8" s="557"/>
      <c r="D8" s="557"/>
      <c r="E8" s="557"/>
      <c r="F8" s="557"/>
    </row>
    <row r="9" spans="2:6" ht="14.1" customHeight="1" x14ac:dyDescent="0.3">
      <c r="B9" s="548" t="s">
        <v>527</v>
      </c>
      <c r="C9" s="549">
        <v>171</v>
      </c>
      <c r="D9" s="549">
        <v>107</v>
      </c>
      <c r="E9" s="48">
        <v>8231</v>
      </c>
      <c r="F9" s="48">
        <v>440</v>
      </c>
    </row>
    <row r="10" spans="2:6" ht="24" x14ac:dyDescent="0.3">
      <c r="B10" s="550" t="s">
        <v>526</v>
      </c>
      <c r="C10" s="48">
        <v>29</v>
      </c>
      <c r="D10" s="48">
        <v>21</v>
      </c>
      <c r="E10" s="48">
        <v>3712</v>
      </c>
      <c r="F10" s="48">
        <v>132</v>
      </c>
    </row>
    <row r="11" spans="2:6" ht="14.1" customHeight="1" thickBot="1" x14ac:dyDescent="0.35">
      <c r="B11" s="552" t="s">
        <v>16</v>
      </c>
      <c r="C11" s="553">
        <f>C9+C10</f>
        <v>200</v>
      </c>
      <c r="D11" s="553">
        <f>D9+D10</f>
        <v>128</v>
      </c>
      <c r="E11" s="553">
        <f t="shared" ref="E11:F11" si="1">E9+E10</f>
        <v>11943</v>
      </c>
      <c r="F11" s="553">
        <f t="shared" si="1"/>
        <v>572</v>
      </c>
    </row>
    <row r="12" spans="2:6" ht="14.1" customHeight="1" x14ac:dyDescent="0.3"/>
  </sheetData>
  <pageMargins left="0.7" right="0.7" top="0.75" bottom="0.75" header="0.3" footer="0.3"/>
  <pageSetup paperSize="9" scale="98" orientation="portrait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 codeName="Sheet95"/>
  <dimension ref="A1:E8"/>
  <sheetViews>
    <sheetView showGridLines="0" topLeftCell="A2" zoomScaleNormal="100" workbookViewId="0">
      <selection activeCell="M23" sqref="M23"/>
    </sheetView>
  </sheetViews>
  <sheetFormatPr defaultRowHeight="14.4" x14ac:dyDescent="0.3"/>
  <cols>
    <col min="1" max="1" width="35.88671875" customWidth="1"/>
    <col min="2" max="5" width="11.5546875" customWidth="1"/>
    <col min="7" max="14" width="5.77734375" customWidth="1"/>
  </cols>
  <sheetData>
    <row r="1" spans="1:5" hidden="1" x14ac:dyDescent="0.3">
      <c r="B1" s="34"/>
      <c r="C1" s="34"/>
      <c r="D1" s="34"/>
    </row>
    <row r="2" spans="1:5" x14ac:dyDescent="0.3">
      <c r="A2" s="243"/>
    </row>
    <row r="3" spans="1:5" x14ac:dyDescent="0.3">
      <c r="A3" s="46" t="s">
        <v>266</v>
      </c>
      <c r="B3" s="46"/>
      <c r="C3" s="46"/>
      <c r="D3" s="46"/>
      <c r="E3" s="256" t="s">
        <v>310</v>
      </c>
    </row>
    <row r="4" spans="1:5" ht="20.399999999999999" customHeight="1" x14ac:dyDescent="0.3">
      <c r="A4" s="176" t="s">
        <v>10</v>
      </c>
      <c r="B4" s="244" t="s">
        <v>522</v>
      </c>
      <c r="C4" s="245" t="s">
        <v>551</v>
      </c>
      <c r="D4" s="245" t="s">
        <v>559</v>
      </c>
      <c r="E4" s="52" t="str">
        <f>IF(LEN(D4)&gt;5,"Индекс " &amp; MID(D4,1,2) &amp; "-" &amp; MID(D4,4,5) &amp; "/" &amp; C4,"Индекс " &amp; D4 &amp; "/" &amp; C4)</f>
        <v>Индекс 2024./2023.</v>
      </c>
    </row>
    <row r="5" spans="1:5" ht="14.1" customHeight="1" x14ac:dyDescent="0.3">
      <c r="A5" s="246" t="s">
        <v>69</v>
      </c>
      <c r="B5" s="247">
        <f>SUM(B6:B8)</f>
        <v>5382.6179999999995</v>
      </c>
      <c r="C5" s="248">
        <f>SUM(C6:C8)</f>
        <v>5668.1660000000002</v>
      </c>
      <c r="D5" s="248">
        <f>SUM(D6:D8)</f>
        <v>6563.3619999999992</v>
      </c>
      <c r="E5" s="249">
        <f>IF(C5&gt;0,D5*100/C5,"-")</f>
        <v>115.7933977233553</v>
      </c>
    </row>
    <row r="6" spans="1:5" ht="14.1" customHeight="1" x14ac:dyDescent="0.3">
      <c r="A6" s="250" t="s">
        <v>371</v>
      </c>
      <c r="B6" s="162">
        <v>4850.4049999999997</v>
      </c>
      <c r="C6" s="251">
        <v>5088.4570000000003</v>
      </c>
      <c r="D6" s="251">
        <v>5921.3059999999996</v>
      </c>
      <c r="E6" s="160">
        <f t="shared" ref="E6:E8" si="0">IF(C6&gt;0,D6*100/C6,"-")</f>
        <v>116.36741747056129</v>
      </c>
    </row>
    <row r="7" spans="1:5" ht="14.1" customHeight="1" x14ac:dyDescent="0.3">
      <c r="A7" s="250" t="s">
        <v>372</v>
      </c>
      <c r="B7" s="162">
        <v>54.847000000000001</v>
      </c>
      <c r="C7" s="251">
        <v>31.38</v>
      </c>
      <c r="D7" s="251">
        <v>7.7229999999999999</v>
      </c>
      <c r="E7" s="160">
        <f t="shared" si="0"/>
        <v>24.611217335882728</v>
      </c>
    </row>
    <row r="8" spans="1:5" ht="14.1" customHeight="1" thickBot="1" x14ac:dyDescent="0.35">
      <c r="A8" s="252" t="s">
        <v>373</v>
      </c>
      <c r="B8" s="253">
        <v>477.36599999999999</v>
      </c>
      <c r="C8" s="254">
        <v>548.32899999999995</v>
      </c>
      <c r="D8" s="254">
        <v>634.33299999999997</v>
      </c>
      <c r="E8" s="255">
        <f t="shared" si="0"/>
        <v>115.68474401317458</v>
      </c>
    </row>
  </sheetData>
  <customSheetViews>
    <customSheetView guid="{5507C501-9942-4310-9E0E-987180BD1180}"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sqref="A1:E7"/>
      <pageMargins left="0.7" right="0.7" top="0.75" bottom="0.75" header="0.3" footer="0.3"/>
      <pageSetup paperSize="9" orientation="portrait" verticalDpi="0" r:id="rId2"/>
    </customSheetView>
  </customSheetViews>
  <pageMargins left="0.7" right="0.7" top="0.75" bottom="0.75" header="0.3" footer="0.3"/>
  <pageSetup paperSize="9" orientation="portrait" verticalDpi="0" r:id="rId3"/>
  <drawing r:id="rId4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sheetPr codeName="Sheet97"/>
  <dimension ref="A1:O13"/>
  <sheetViews>
    <sheetView showGridLines="0" topLeftCell="B1" zoomScaleNormal="100" workbookViewId="0">
      <selection activeCell="L21" sqref="L21"/>
    </sheetView>
  </sheetViews>
  <sheetFormatPr defaultRowHeight="14.4" x14ac:dyDescent="0.3"/>
  <cols>
    <col min="1" max="1" width="4.88671875" hidden="1" customWidth="1"/>
    <col min="2" max="2" width="42" customWidth="1"/>
    <col min="3" max="5" width="10.5546875" customWidth="1"/>
    <col min="6" max="6" width="13.44140625" customWidth="1"/>
    <col min="8" max="14" width="5.77734375" customWidth="1"/>
    <col min="15" max="15" width="0" style="19" hidden="1" customWidth="1"/>
  </cols>
  <sheetData>
    <row r="1" spans="2:15" x14ac:dyDescent="0.3">
      <c r="B1" s="23"/>
      <c r="C1" s="23"/>
    </row>
    <row r="2" spans="2:15" ht="15" customHeight="1" x14ac:dyDescent="0.3">
      <c r="B2" s="796" t="s">
        <v>267</v>
      </c>
      <c r="C2" s="847"/>
      <c r="D2" s="46"/>
      <c r="E2" s="169"/>
      <c r="F2" s="256" t="s">
        <v>310</v>
      </c>
    </row>
    <row r="3" spans="2:15" ht="22.2" customHeight="1" x14ac:dyDescent="0.3">
      <c r="B3" s="176" t="s">
        <v>10</v>
      </c>
      <c r="C3" s="257" t="s">
        <v>522</v>
      </c>
      <c r="D3" s="258" t="s">
        <v>551</v>
      </c>
      <c r="E3" s="258" t="s">
        <v>559</v>
      </c>
      <c r="F3" s="52" t="str">
        <f>IF(LEN(E3)&gt;5,"Индекс " &amp; MID(E3,1,2) &amp; "-" &amp; MID(E3,4,5) &amp; "/" &amp; D3,"Индекс " &amp; E3 &amp; "/" &amp; D3)</f>
        <v>Индекс 2024./2023.</v>
      </c>
    </row>
    <row r="4" spans="2:15" ht="14.1" customHeight="1" x14ac:dyDescent="0.3">
      <c r="B4" s="259" t="s">
        <v>69</v>
      </c>
      <c r="C4" s="260">
        <f>'Tab 27'!B5</f>
        <v>5382.6179999999995</v>
      </c>
      <c r="D4" s="261">
        <f>'Tab 27'!C5</f>
        <v>5668.1660000000002</v>
      </c>
      <c r="E4" s="261">
        <f>'Tab 27'!D5</f>
        <v>6563.3619999999992</v>
      </c>
      <c r="F4" s="262">
        <f>IF(D4&gt;0,E4*100/D4,"-")</f>
        <v>115.7933977233553</v>
      </c>
      <c r="O4" s="655" t="s">
        <v>3</v>
      </c>
    </row>
    <row r="5" spans="2:15" ht="14.1" customHeight="1" x14ac:dyDescent="0.3">
      <c r="B5" s="250" t="s">
        <v>70</v>
      </c>
      <c r="C5" s="162">
        <v>1089.299</v>
      </c>
      <c r="D5" s="251">
        <v>1188.3019999999999</v>
      </c>
      <c r="E5" s="251">
        <v>1386.8430000000001</v>
      </c>
      <c r="F5" s="160">
        <f t="shared" ref="F5:F13" si="0">IF(D5&gt;0,E5*100/D5,"-")</f>
        <v>116.70795807799703</v>
      </c>
      <c r="O5" s="3"/>
    </row>
    <row r="6" spans="2:15" ht="14.1" customHeight="1" x14ac:dyDescent="0.3">
      <c r="B6" s="250" t="s">
        <v>71</v>
      </c>
      <c r="C6" s="162">
        <f>C5-ROUND(0.12*C$4,0)</f>
        <v>443.29899999999998</v>
      </c>
      <c r="D6" s="251">
        <f>D5-ROUND(0.12*D$4,0)</f>
        <v>508.30199999999991</v>
      </c>
      <c r="E6" s="251">
        <f>E5-ROUND(0.12*E$4,0)</f>
        <v>598.84300000000007</v>
      </c>
      <c r="F6" s="160">
        <f t="shared" si="0"/>
        <v>117.81244220955263</v>
      </c>
      <c r="O6" s="3"/>
    </row>
    <row r="7" spans="2:15" ht="14.1" customHeight="1" x14ac:dyDescent="0.3">
      <c r="B7" s="263" t="s">
        <v>76</v>
      </c>
      <c r="C7" s="264">
        <f>IF(C$4&lt;&gt;0,ROUND(C5/C$4,4),0)</f>
        <v>0.2024</v>
      </c>
      <c r="D7" s="265">
        <f>IF(D$4&lt;&gt;0,ROUND(D5/D$4,4),0)</f>
        <v>0.20960000000000001</v>
      </c>
      <c r="E7" s="265">
        <f>IF(E$4&lt;&gt;0,ROUND(E5/E$4,4),0)</f>
        <v>0.21129999999999999</v>
      </c>
      <c r="F7" s="266">
        <f t="shared" si="0"/>
        <v>100.81106870229007</v>
      </c>
      <c r="O7" s="654">
        <f>ROUND(E7,3)</f>
        <v>0.21099999999999999</v>
      </c>
    </row>
    <row r="8" spans="2:15" ht="14.1" customHeight="1" x14ac:dyDescent="0.3">
      <c r="B8" s="250" t="s">
        <v>72</v>
      </c>
      <c r="C8" s="162">
        <v>1043.3800000000001</v>
      </c>
      <c r="D8" s="251">
        <v>1130.0150000000001</v>
      </c>
      <c r="E8" s="251">
        <v>1309.855</v>
      </c>
      <c r="F8" s="160">
        <f t="shared" si="0"/>
        <v>115.91483298894262</v>
      </c>
      <c r="O8" s="3"/>
    </row>
    <row r="9" spans="2:15" ht="14.1" customHeight="1" x14ac:dyDescent="0.3">
      <c r="B9" s="250" t="s">
        <v>73</v>
      </c>
      <c r="C9" s="162">
        <f>C8-ROUND(0.09*C$4,0)</f>
        <v>559.38000000000011</v>
      </c>
      <c r="D9" s="251">
        <f>D8-ROUND(0.09*D$4,0)</f>
        <v>620.0150000000001</v>
      </c>
      <c r="E9" s="251">
        <f>E8-ROUND(0.09*E$4,0)</f>
        <v>718.85500000000002</v>
      </c>
      <c r="F9" s="160">
        <f t="shared" si="0"/>
        <v>115.94154980121446</v>
      </c>
      <c r="O9" s="3"/>
    </row>
    <row r="10" spans="2:15" ht="14.1" customHeight="1" x14ac:dyDescent="0.3">
      <c r="B10" s="263" t="s">
        <v>77</v>
      </c>
      <c r="C10" s="264">
        <f>IF(C$4&lt;&gt;0,ROUND(C8/C$4,4),0)</f>
        <v>0.1938</v>
      </c>
      <c r="D10" s="265">
        <f>IF(D$4&lt;&gt;0,ROUND(D8/D$4,4),0)</f>
        <v>0.19939999999999999</v>
      </c>
      <c r="E10" s="265">
        <f>IF(E$4&lt;&gt;0,ROUND(E8/E$4,4),0)</f>
        <v>0.1996</v>
      </c>
      <c r="F10" s="266">
        <f t="shared" si="0"/>
        <v>100.10030090270813</v>
      </c>
      <c r="O10" s="654">
        <f>ROUND(E10,3)</f>
        <v>0.2</v>
      </c>
    </row>
    <row r="11" spans="2:15" ht="14.1" customHeight="1" x14ac:dyDescent="0.3">
      <c r="B11" s="250" t="s">
        <v>74</v>
      </c>
      <c r="C11" s="162">
        <v>1037.3800000000001</v>
      </c>
      <c r="D11" s="251">
        <v>1124.0150000000001</v>
      </c>
      <c r="E11" s="251">
        <v>1303.855</v>
      </c>
      <c r="F11" s="160">
        <f t="shared" si="0"/>
        <v>115.99978647971778</v>
      </c>
      <c r="O11" s="3"/>
    </row>
    <row r="12" spans="2:15" ht="14.1" customHeight="1" x14ac:dyDescent="0.3">
      <c r="B12" s="250" t="s">
        <v>75</v>
      </c>
      <c r="C12" s="162">
        <f>C11-ROUND(0.0675*C$4,0)</f>
        <v>674.38000000000011</v>
      </c>
      <c r="D12" s="251">
        <f>D11-ROUND(0.0675*D$4,0)</f>
        <v>741.0150000000001</v>
      </c>
      <c r="E12" s="251">
        <f>E11-ROUND(0.0675*E$4,0)</f>
        <v>860.85500000000002</v>
      </c>
      <c r="F12" s="160">
        <f t="shared" si="0"/>
        <v>116.17241216439612</v>
      </c>
      <c r="O12" s="656"/>
    </row>
    <row r="13" spans="2:15" ht="14.1" customHeight="1" thickBot="1" x14ac:dyDescent="0.35">
      <c r="B13" s="267" t="s">
        <v>78</v>
      </c>
      <c r="C13" s="268">
        <f>IF(C$4&lt;&gt;0,ROUND(C11/C$4,4),0)</f>
        <v>0.19270000000000001</v>
      </c>
      <c r="D13" s="269">
        <f>IF(D$4&lt;&gt;0,ROUND(D11/D$4,4),0)</f>
        <v>0.1983</v>
      </c>
      <c r="E13" s="269">
        <f>IF(E$4&lt;&gt;0,ROUND(E11/E$4,4),0)</f>
        <v>0.19869999999999999</v>
      </c>
      <c r="F13" s="270">
        <f t="shared" si="0"/>
        <v>100.20171457387795</v>
      </c>
      <c r="O13" s="653">
        <f>ROUND(E13,3)</f>
        <v>0.19900000000000001</v>
      </c>
    </row>
  </sheetData>
  <customSheetViews>
    <customSheetView guid="{5507C501-9942-4310-9E0E-987180BD1180}">
      <selection activeCell="D21" sqref="D21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D21" sqref="D21"/>
      <pageMargins left="0.7" right="0.7" top="0.75" bottom="0.75" header="0.3" footer="0.3"/>
      <pageSetup paperSize="9" orientation="portrait" verticalDpi="0" r:id="rId2"/>
    </customSheetView>
  </customSheetViews>
  <mergeCells count="1">
    <mergeCell ref="B2:C2"/>
  </mergeCells>
  <pageMargins left="0.7" right="0.7" top="0.75" bottom="0.75" header="0.3" footer="0.3"/>
  <pageSetup paperSize="9" orientation="portrait" verticalDpi="0" r:id="rId3"/>
  <drawing r:id="rId4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sheetPr codeName="Sheet99"/>
  <dimension ref="A1:N14"/>
  <sheetViews>
    <sheetView showGridLines="0" topLeftCell="A2" zoomScaleNormal="100" workbookViewId="0">
      <selection activeCell="E23" sqref="E23"/>
    </sheetView>
  </sheetViews>
  <sheetFormatPr defaultRowHeight="14.4" x14ac:dyDescent="0.3"/>
  <cols>
    <col min="1" max="1" width="43.44140625" customWidth="1"/>
    <col min="2" max="4" width="9.5546875" customWidth="1"/>
    <col min="5" max="5" width="8.21875" bestFit="1" customWidth="1"/>
    <col min="7" max="7" width="8.88671875" style="629" customWidth="1"/>
    <col min="8" max="12" width="8.88671875" customWidth="1"/>
    <col min="13" max="14" width="5.77734375" customWidth="1"/>
  </cols>
  <sheetData>
    <row r="1" spans="1:14" hidden="1" x14ac:dyDescent="0.3"/>
    <row r="3" spans="1:14" x14ac:dyDescent="0.3">
      <c r="A3" s="46" t="s">
        <v>268</v>
      </c>
      <c r="B3" s="46"/>
      <c r="C3" s="46"/>
      <c r="D3" s="46"/>
      <c r="E3" s="256" t="s">
        <v>310</v>
      </c>
    </row>
    <row r="4" spans="1:14" ht="20.399999999999999" x14ac:dyDescent="0.3">
      <c r="A4" s="63" t="s">
        <v>10</v>
      </c>
      <c r="B4" s="170" t="s">
        <v>522</v>
      </c>
      <c r="C4" s="171" t="s">
        <v>551</v>
      </c>
      <c r="D4" s="171" t="s">
        <v>559</v>
      </c>
      <c r="E4" s="52" t="str">
        <f>IF(LEN(D4)&gt;5,"Индекс " &amp; MID(D4,1,2) &amp; "-" &amp; MID(D4,4,5) &amp; "/" &amp; C4,"Индекс " &amp; D4 &amp; "/" &amp; C4)</f>
        <v>Индекс 2024./2023.</v>
      </c>
    </row>
    <row r="5" spans="1:14" ht="14.1" customHeight="1" x14ac:dyDescent="0.3">
      <c r="A5" s="53" t="s">
        <v>80</v>
      </c>
      <c r="B5" s="95">
        <f>SUM(B6:B9)</f>
        <v>440.18</v>
      </c>
      <c r="C5" s="114">
        <f t="shared" ref="C5:D5" si="0">SUM(C6:C9)</f>
        <v>474.58100000000007</v>
      </c>
      <c r="D5" s="114">
        <f t="shared" si="0"/>
        <v>537.66</v>
      </c>
      <c r="E5" s="48">
        <f>IF(C5&lt;&gt;0,D5/C5*100,"-")</f>
        <v>113.29151398812844</v>
      </c>
    </row>
    <row r="6" spans="1:14" ht="14.1" customHeight="1" x14ac:dyDescent="0.3">
      <c r="A6" s="10" t="s">
        <v>81</v>
      </c>
      <c r="B6" s="103">
        <v>12.837999999999999</v>
      </c>
      <c r="C6" s="69">
        <v>13.288</v>
      </c>
      <c r="D6" s="69">
        <v>16.266999999999999</v>
      </c>
      <c r="E6" s="48">
        <f>IF(C6&lt;&gt;0,D6/C6*100,"-")</f>
        <v>122.41872366044551</v>
      </c>
    </row>
    <row r="7" spans="1:14" ht="14.1" customHeight="1" x14ac:dyDescent="0.3">
      <c r="A7" s="10" t="s">
        <v>83</v>
      </c>
      <c r="B7" s="103">
        <v>138.01400000000001</v>
      </c>
      <c r="C7" s="69">
        <v>151.59200000000001</v>
      </c>
      <c r="D7" s="69">
        <v>172.36699999999999</v>
      </c>
      <c r="E7" s="48">
        <f t="shared" ref="E7:E14" si="1">IF(C7&lt;&gt;0,D7/C7*100,"-")</f>
        <v>113.70454905272045</v>
      </c>
    </row>
    <row r="8" spans="1:14" ht="14.1" customHeight="1" x14ac:dyDescent="0.3">
      <c r="A8" s="10" t="s">
        <v>84</v>
      </c>
      <c r="B8" s="103">
        <v>285.05700000000002</v>
      </c>
      <c r="C8" s="69">
        <v>308.55500000000001</v>
      </c>
      <c r="D8" s="69">
        <v>348.79300000000001</v>
      </c>
      <c r="E8" s="48">
        <f t="shared" si="1"/>
        <v>113.04078689374666</v>
      </c>
    </row>
    <row r="9" spans="1:14" ht="14.1" customHeight="1" x14ac:dyDescent="0.3">
      <c r="A9" s="10" t="s">
        <v>85</v>
      </c>
      <c r="B9" s="103">
        <v>4.2709999999999999</v>
      </c>
      <c r="C9" s="69">
        <v>1.1459999999999999</v>
      </c>
      <c r="D9" s="69">
        <v>0.23300000000000001</v>
      </c>
      <c r="E9" s="48">
        <f t="shared" si="1"/>
        <v>20.331588132635257</v>
      </c>
    </row>
    <row r="10" spans="1:14" ht="14.1" customHeight="1" x14ac:dyDescent="0.3">
      <c r="A10" s="10" t="s">
        <v>82</v>
      </c>
      <c r="B10" s="95">
        <v>9757.1550000000007</v>
      </c>
      <c r="C10" s="114">
        <v>10030.576999999999</v>
      </c>
      <c r="D10" s="114">
        <v>10855.821</v>
      </c>
      <c r="E10" s="48">
        <f t="shared" si="1"/>
        <v>108.22728343543946</v>
      </c>
      <c r="H10" s="630"/>
      <c r="I10" s="629"/>
      <c r="J10" s="629"/>
      <c r="K10" s="629"/>
      <c r="L10" s="629"/>
      <c r="M10" s="629"/>
      <c r="N10" s="629"/>
    </row>
    <row r="11" spans="1:14" ht="14.1" customHeight="1" x14ac:dyDescent="0.3">
      <c r="A11" s="10" t="s">
        <v>86</v>
      </c>
      <c r="B11" s="103">
        <v>-42.402000000000001</v>
      </c>
      <c r="C11" s="69">
        <v>-42.938000000000002</v>
      </c>
      <c r="D11" s="69">
        <v>-19.939</v>
      </c>
      <c r="E11" s="48">
        <f t="shared" si="1"/>
        <v>46.436722716474918</v>
      </c>
      <c r="H11" s="630"/>
      <c r="I11" s="630"/>
    </row>
    <row r="12" spans="1:14" ht="14.1" customHeight="1" x14ac:dyDescent="0.3">
      <c r="A12" s="10" t="s">
        <v>87</v>
      </c>
      <c r="B12" s="95">
        <v>10154.933000000001</v>
      </c>
      <c r="C12" s="114">
        <v>10462.218999999999</v>
      </c>
      <c r="D12" s="114">
        <v>11373.540999999999</v>
      </c>
      <c r="E12" s="96">
        <f t="shared" si="1"/>
        <v>108.71059953916087</v>
      </c>
    </row>
    <row r="13" spans="1:14" ht="14.1" customHeight="1" x14ac:dyDescent="0.3">
      <c r="A13" s="10" t="s">
        <v>88</v>
      </c>
      <c r="B13" s="103">
        <v>1043.3800000000001</v>
      </c>
      <c r="C13" s="69">
        <v>1130.0150000000001</v>
      </c>
      <c r="D13" s="69">
        <v>1309.855</v>
      </c>
      <c r="E13" s="48">
        <f t="shared" si="1"/>
        <v>115.91483298894261</v>
      </c>
    </row>
    <row r="14" spans="1:14" ht="14.1" customHeight="1" thickBot="1" x14ac:dyDescent="0.35">
      <c r="A14" s="81" t="s">
        <v>89</v>
      </c>
      <c r="B14" s="271">
        <f>IF(B12&lt;&gt;0,B13/B12,0)</f>
        <v>0.10274612348500971</v>
      </c>
      <c r="C14" s="272">
        <f t="shared" ref="C14:D14" si="2">IF(C12&lt;&gt;0,C13/C12,0)</f>
        <v>0.10800911355420874</v>
      </c>
      <c r="D14" s="272">
        <f t="shared" si="2"/>
        <v>0.11516685964379959</v>
      </c>
      <c r="E14" s="631">
        <f t="shared" si="1"/>
        <v>106.62698345913046</v>
      </c>
    </row>
  </sheetData>
  <customSheetViews>
    <customSheetView guid="{5507C501-9942-4310-9E0E-987180BD1180}">
      <selection activeCell="Z32" sqref="Z32"/>
      <pageMargins left="0.7" right="0.7" top="0.75" bottom="0.75" header="0.3" footer="0.3"/>
    </customSheetView>
  </customSheetViews>
  <pageMargins left="0.7" right="0.7" top="0.75" bottom="0.75" header="0.3" footer="0.3"/>
  <pageSetup orientation="portrait" verticalDpi="0" r:id="rId1"/>
  <ignoredErrors>
    <ignoredError sqref="A6:A9" numberStoredAsText="1"/>
    <ignoredError sqref="B5:E5" formulaRange="1"/>
  </ignoredError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sheetPr codeName="Sheet89"/>
  <dimension ref="A1:F6"/>
  <sheetViews>
    <sheetView showGridLines="0" zoomScaleNormal="100" workbookViewId="0">
      <selection activeCell="F6" sqref="F6"/>
    </sheetView>
  </sheetViews>
  <sheetFormatPr defaultRowHeight="14.4" x14ac:dyDescent="0.3"/>
  <cols>
    <col min="1" max="1" width="39.44140625" customWidth="1"/>
    <col min="2" max="5" width="9.109375" customWidth="1"/>
    <col min="8" max="12" width="5.77734375" customWidth="1"/>
  </cols>
  <sheetData>
    <row r="1" spans="1:6" x14ac:dyDescent="0.3">
      <c r="A1" s="88"/>
    </row>
    <row r="2" spans="1:6" x14ac:dyDescent="0.3">
      <c r="A2" s="119" t="s">
        <v>383</v>
      </c>
      <c r="B2" s="119"/>
      <c r="C2" s="119"/>
      <c r="D2" s="119"/>
      <c r="E2" s="49"/>
      <c r="F2" s="49" t="s">
        <v>310</v>
      </c>
    </row>
    <row r="3" spans="1:6" x14ac:dyDescent="0.3">
      <c r="A3" s="72" t="s">
        <v>10</v>
      </c>
      <c r="B3" s="615" t="s">
        <v>551</v>
      </c>
      <c r="C3" s="615" t="s">
        <v>569</v>
      </c>
      <c r="D3" s="615" t="s">
        <v>552</v>
      </c>
      <c r="E3" s="615" t="s">
        <v>570</v>
      </c>
      <c r="F3" s="615" t="s">
        <v>559</v>
      </c>
    </row>
    <row r="4" spans="1:6" x14ac:dyDescent="0.3">
      <c r="A4" s="53" t="s">
        <v>90</v>
      </c>
      <c r="B4" s="7">
        <v>2354.5630000000001</v>
      </c>
      <c r="C4" s="7">
        <v>2427.9360000000001</v>
      </c>
      <c r="D4" s="7">
        <v>2175.6729999999998</v>
      </c>
      <c r="E4" s="7">
        <v>2133.21</v>
      </c>
      <c r="F4" s="7">
        <v>2342.0349999999999</v>
      </c>
    </row>
    <row r="5" spans="1:6" x14ac:dyDescent="0.3">
      <c r="A5" s="10" t="s">
        <v>108</v>
      </c>
      <c r="B5" s="7">
        <v>997.12</v>
      </c>
      <c r="C5" s="7">
        <v>949.649</v>
      </c>
      <c r="D5" s="7">
        <v>920.19100000000003</v>
      </c>
      <c r="E5" s="7">
        <v>908.38699999999994</v>
      </c>
      <c r="F5" s="7">
        <v>1106.8610000000001</v>
      </c>
    </row>
    <row r="6" spans="1:6" ht="15" thickBot="1" x14ac:dyDescent="0.35">
      <c r="A6" s="76" t="s">
        <v>91</v>
      </c>
      <c r="B6" s="614">
        <f>IF(B5&lt;&gt;0,B4*100/B5,"-")</f>
        <v>236.1363727535302</v>
      </c>
      <c r="C6" s="614">
        <f>IF(C5&lt;&gt;0,C4*100/C5,"-")</f>
        <v>255.66667263378363</v>
      </c>
      <c r="D6" s="614">
        <f t="shared" ref="D6:E6" si="0">IF(D5&lt;&gt;0,D4*100/D5,"-")</f>
        <v>236.43710925231824</v>
      </c>
      <c r="E6" s="614">
        <f t="shared" si="0"/>
        <v>234.83493268838063</v>
      </c>
      <c r="F6" s="614">
        <f t="shared" ref="F6" si="1">IF(F5&lt;&gt;0,F4*100/F5,"-")</f>
        <v>211.59251251963886</v>
      </c>
    </row>
  </sheetData>
  <pageMargins left="0.7" right="0.7" top="0.75" bottom="0.75" header="0.3" footer="0.3"/>
  <pageSetup paperSize="9" scale="84" orientation="portrait" verticalDpi="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F8338-B38A-4343-B58E-B567954BE577}">
  <sheetPr codeName="Sheet188"/>
  <dimension ref="A1:F6"/>
  <sheetViews>
    <sheetView showGridLines="0" zoomScaleNormal="100" workbookViewId="0">
      <selection activeCell="O24" sqref="O24"/>
    </sheetView>
  </sheetViews>
  <sheetFormatPr defaultRowHeight="14.4" x14ac:dyDescent="0.3"/>
  <cols>
    <col min="1" max="1" width="30.33203125" bestFit="1" customWidth="1"/>
    <col min="2" max="5" width="9.109375" customWidth="1"/>
    <col min="8" max="12" width="5.77734375" customWidth="1"/>
  </cols>
  <sheetData>
    <row r="1" spans="1:6" x14ac:dyDescent="0.3">
      <c r="A1" s="88"/>
    </row>
    <row r="2" spans="1:6" x14ac:dyDescent="0.3">
      <c r="A2" s="119" t="s">
        <v>518</v>
      </c>
      <c r="B2" s="119"/>
      <c r="C2" s="119"/>
      <c r="D2" s="119"/>
      <c r="E2" s="49"/>
      <c r="F2" s="49" t="s">
        <v>310</v>
      </c>
    </row>
    <row r="3" spans="1:6" x14ac:dyDescent="0.3">
      <c r="A3" s="72" t="s">
        <v>10</v>
      </c>
      <c r="B3" s="615" t="s">
        <v>551</v>
      </c>
      <c r="C3" s="615" t="s">
        <v>569</v>
      </c>
      <c r="D3" s="615" t="s">
        <v>552</v>
      </c>
      <c r="E3" s="615" t="s">
        <v>570</v>
      </c>
      <c r="F3" s="615" t="s">
        <v>559</v>
      </c>
    </row>
    <row r="4" spans="1:6" x14ac:dyDescent="0.3">
      <c r="A4" s="53" t="s">
        <v>519</v>
      </c>
      <c r="B4" s="7">
        <v>7910.1559999999999</v>
      </c>
      <c r="C4" s="7">
        <v>8178.0810000000001</v>
      </c>
      <c r="D4" s="7">
        <v>8089.7709999999997</v>
      </c>
      <c r="E4" s="7">
        <v>8217.9590000000007</v>
      </c>
      <c r="F4" s="7">
        <v>8478.9459999999999</v>
      </c>
    </row>
    <row r="5" spans="1:6" x14ac:dyDescent="0.3">
      <c r="A5" s="10" t="s">
        <v>520</v>
      </c>
      <c r="B5" s="7">
        <v>4704.1639999999998</v>
      </c>
      <c r="C5" s="7">
        <v>4754.7740000000003</v>
      </c>
      <c r="D5" s="7">
        <v>4931.5190000000002</v>
      </c>
      <c r="E5" s="7">
        <v>5056.652</v>
      </c>
      <c r="F5" s="7">
        <v>5264.6490000000003</v>
      </c>
    </row>
    <row r="6" spans="1:6" ht="24.6" thickBot="1" x14ac:dyDescent="0.35">
      <c r="A6" s="76" t="s">
        <v>521</v>
      </c>
      <c r="B6" s="614">
        <f>IF(B5&lt;&gt;0,B4*100/B5,"-")</f>
        <v>168.15221578159264</v>
      </c>
      <c r="C6" s="614">
        <f>IF(C5&lt;&gt;0,C4*100/C5,"-")</f>
        <v>171.99726001698502</v>
      </c>
      <c r="D6" s="614">
        <f t="shared" ref="D6:F6" si="0">IF(D5&lt;&gt;0,D4*100/D5,"-")</f>
        <v>164.04217442942021</v>
      </c>
      <c r="E6" s="614">
        <f t="shared" si="0"/>
        <v>162.51778844974896</v>
      </c>
      <c r="F6" s="614">
        <f t="shared" si="0"/>
        <v>161.05434569332161</v>
      </c>
    </row>
  </sheetData>
  <pageMargins left="0.7" right="0.7" top="0.75" bottom="0.75" header="0.3" footer="0.3"/>
  <pageSetup paperSize="9" scale="84" orientation="portrait" verticalDpi="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19294-FB08-4486-8CE5-31F189643A6F}">
  <sheetPr codeName="Sheet13">
    <pageSetUpPr fitToPage="1"/>
  </sheetPr>
  <dimension ref="A1:FV16"/>
  <sheetViews>
    <sheetView showGridLines="0" topLeftCell="A2" zoomScaleNormal="100" workbookViewId="0">
      <selection activeCell="O23" sqref="O23"/>
    </sheetView>
  </sheetViews>
  <sheetFormatPr defaultColWidth="8.5546875" defaultRowHeight="14.4" x14ac:dyDescent="0.3"/>
  <cols>
    <col min="1" max="1" width="18.44140625" style="26" customWidth="1"/>
    <col min="2" max="2" width="8.5546875" style="26" customWidth="1"/>
    <col min="3" max="3" width="8" style="26" bestFit="1" customWidth="1"/>
    <col min="4" max="4" width="8.5546875" style="26" bestFit="1" customWidth="1"/>
    <col min="5" max="5" width="8" style="26" bestFit="1" customWidth="1"/>
    <col min="6" max="6" width="8.5546875" style="26" bestFit="1" customWidth="1"/>
    <col min="7" max="7" width="8" style="26" bestFit="1" customWidth="1"/>
    <col min="8" max="8" width="9.44140625" style="26" customWidth="1"/>
    <col min="9" max="9" width="9.109375" style="26" customWidth="1"/>
    <col min="10" max="10" width="10.5546875" style="26" customWidth="1"/>
    <col min="11" max="14" width="5.77734375" style="26" customWidth="1"/>
    <col min="15" max="16" width="8.88671875" style="26" bestFit="1" customWidth="1"/>
    <col min="17" max="16384" width="8.5546875" style="26"/>
  </cols>
  <sheetData>
    <row r="1" spans="1:178" hidden="1" x14ac:dyDescent="0.3"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</row>
    <row r="2" spans="1:178" x14ac:dyDescent="0.3"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</row>
    <row r="3" spans="1:178" ht="15" customHeight="1" x14ac:dyDescent="0.3">
      <c r="A3" s="46" t="s">
        <v>342</v>
      </c>
      <c r="B3" s="46"/>
      <c r="C3" s="46"/>
      <c r="D3" s="46"/>
      <c r="E3" s="46"/>
      <c r="F3" s="46"/>
      <c r="G3" s="46"/>
      <c r="H3" s="46"/>
      <c r="I3" s="256" t="s">
        <v>310</v>
      </c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</row>
    <row r="4" spans="1:178" ht="15.9" customHeight="1" x14ac:dyDescent="0.3">
      <c r="A4" s="850" t="s">
        <v>199</v>
      </c>
      <c r="B4" s="852" t="s">
        <v>522</v>
      </c>
      <c r="C4" s="853"/>
      <c r="D4" s="854" t="s">
        <v>551</v>
      </c>
      <c r="E4" s="853"/>
      <c r="F4" s="854" t="s">
        <v>559</v>
      </c>
      <c r="G4" s="853"/>
      <c r="H4" s="848" t="str">
        <f>IF(LEN(D4)&gt;5,"Индекс " &amp; MID(D4,1,2) &amp; "-" &amp; MID(D4,4,5) &amp; "/" &amp; B4,"Индекс " &amp; D4 &amp; "/" &amp; B4)</f>
        <v>Индекс 2023./2022.</v>
      </c>
      <c r="I4" s="848" t="str">
        <f>IF(LEN(F4)&gt;5,"Индекс " &amp; MID(F4,1,2) &amp; "-" &amp; MID(F4,4,5) &amp; "/" &amp; D4,"Индекс " &amp; F4 &amp; "/" &amp; D4)</f>
        <v>Индекс 2024./2023.</v>
      </c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</row>
    <row r="5" spans="1:178" s="191" customFormat="1" ht="14.1" customHeight="1" x14ac:dyDescent="0.3">
      <c r="A5" s="851"/>
      <c r="B5" s="188" t="s">
        <v>2</v>
      </c>
      <c r="C5" s="189" t="s">
        <v>343</v>
      </c>
      <c r="D5" s="190" t="s">
        <v>2</v>
      </c>
      <c r="E5" s="189" t="s">
        <v>3</v>
      </c>
      <c r="F5" s="190" t="s">
        <v>2</v>
      </c>
      <c r="G5" s="189" t="s">
        <v>3</v>
      </c>
      <c r="H5" s="849"/>
      <c r="I5" s="849"/>
      <c r="O5" s="26"/>
      <c r="P5" s="26"/>
      <c r="Q5" s="26"/>
      <c r="R5" s="26"/>
      <c r="S5" s="26"/>
      <c r="T5" s="26"/>
      <c r="U5" s="26"/>
      <c r="V5" s="26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</row>
    <row r="6" spans="1:178" s="191" customFormat="1" ht="14.1" customHeight="1" x14ac:dyDescent="0.3">
      <c r="A6" s="192" t="s">
        <v>344</v>
      </c>
      <c r="B6" s="193">
        <v>5298.9309999999996</v>
      </c>
      <c r="C6" s="194">
        <f t="shared" ref="C6:C15" si="0">IFERROR(B6/B$16*100,0)</f>
        <v>69.767207010780538</v>
      </c>
      <c r="D6" s="195">
        <v>4309.9290000000001</v>
      </c>
      <c r="E6" s="194">
        <f t="shared" ref="E6:E15" si="1">IFERROR(D6/D$16*100,0)</f>
        <v>55.683067430463176</v>
      </c>
      <c r="F6" s="195">
        <v>4782.951</v>
      </c>
      <c r="G6" s="194">
        <f t="shared" ref="G6:G15" si="2">IFERROR(F6/F$16*100,0)</f>
        <v>57.252224187307554</v>
      </c>
      <c r="H6" s="196">
        <f>IFERROR(D6/B6*100,0)</f>
        <v>81.335820375845628</v>
      </c>
      <c r="I6" s="196">
        <f>IFERROR(F6/D6*100,0)</f>
        <v>110.97516919652273</v>
      </c>
      <c r="O6" s="26"/>
      <c r="P6" s="26"/>
      <c r="Q6" s="26"/>
      <c r="R6" s="26"/>
      <c r="S6" s="26"/>
      <c r="T6" s="26"/>
      <c r="U6" s="26"/>
      <c r="V6" s="2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</row>
    <row r="7" spans="1:178" s="191" customFormat="1" ht="14.1" customHeight="1" x14ac:dyDescent="0.3">
      <c r="A7" s="192" t="s">
        <v>345</v>
      </c>
      <c r="B7" s="193">
        <v>22.213999999999999</v>
      </c>
      <c r="C7" s="194">
        <f t="shared" si="0"/>
        <v>0.29247573454673764</v>
      </c>
      <c r="D7" s="195">
        <v>69.734999999999999</v>
      </c>
      <c r="E7" s="194">
        <f t="shared" si="1"/>
        <v>0.90095653716415047</v>
      </c>
      <c r="F7" s="195">
        <v>84.950999999999993</v>
      </c>
      <c r="G7" s="194">
        <f t="shared" si="2"/>
        <v>1.0168688111034303</v>
      </c>
      <c r="H7" s="196">
        <f t="shared" ref="H7:H16" si="3">IFERROR(D7/B7*100,0)</f>
        <v>313.92365175114793</v>
      </c>
      <c r="I7" s="196">
        <f>IFERROR(F7/D7*100,0)</f>
        <v>121.81974618197462</v>
      </c>
      <c r="O7" s="26"/>
      <c r="P7" s="26"/>
      <c r="Q7" s="26"/>
      <c r="R7" s="26"/>
      <c r="S7" s="26"/>
      <c r="T7" s="26"/>
      <c r="U7" s="26"/>
      <c r="V7" s="26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</row>
    <row r="8" spans="1:178" ht="14.1" customHeight="1" x14ac:dyDescent="0.3">
      <c r="A8" s="192" t="s">
        <v>346</v>
      </c>
      <c r="B8" s="193">
        <v>68.863</v>
      </c>
      <c r="C8" s="194">
        <f t="shared" si="0"/>
        <v>0.90666951058305556</v>
      </c>
      <c r="D8" s="195">
        <v>100.529</v>
      </c>
      <c r="E8" s="194">
        <f t="shared" si="1"/>
        <v>1.298806334331037</v>
      </c>
      <c r="F8" s="195">
        <v>149.59200000000001</v>
      </c>
      <c r="G8" s="194">
        <f t="shared" si="2"/>
        <v>1.7906256452612019</v>
      </c>
      <c r="H8" s="196">
        <f t="shared" si="3"/>
        <v>145.98405529820079</v>
      </c>
      <c r="I8" s="196">
        <f>IFERROR(F8/D8*100,0)</f>
        <v>148.80482248903303</v>
      </c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</row>
    <row r="9" spans="1:178" ht="14.1" customHeight="1" x14ac:dyDescent="0.3">
      <c r="A9" s="192" t="s">
        <v>347</v>
      </c>
      <c r="B9" s="193">
        <v>384.49299999999999</v>
      </c>
      <c r="C9" s="194">
        <f t="shared" si="0"/>
        <v>5.0623423338020528</v>
      </c>
      <c r="D9" s="195">
        <v>452.48200000000003</v>
      </c>
      <c r="E9" s="194">
        <f t="shared" si="1"/>
        <v>5.8459398558702107</v>
      </c>
      <c r="F9" s="195">
        <v>450.99799999999999</v>
      </c>
      <c r="G9" s="194">
        <f t="shared" si="2"/>
        <v>5.3984744154868674</v>
      </c>
      <c r="H9" s="196">
        <f t="shared" si="3"/>
        <v>117.68276665635007</v>
      </c>
      <c r="I9" s="196">
        <f t="shared" ref="I9:I16" si="4">IFERROR(F9/D9*100,0)</f>
        <v>99.672031152620434</v>
      </c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</row>
    <row r="10" spans="1:178" ht="14.1" customHeight="1" x14ac:dyDescent="0.3">
      <c r="A10" s="192" t="s">
        <v>348</v>
      </c>
      <c r="B10" s="193">
        <v>331.26400000000001</v>
      </c>
      <c r="C10" s="194">
        <f t="shared" si="0"/>
        <v>4.3615144381421853</v>
      </c>
      <c r="D10" s="195">
        <v>511.39100000000002</v>
      </c>
      <c r="E10" s="194">
        <f t="shared" si="1"/>
        <v>6.607027525588471</v>
      </c>
      <c r="F10" s="195">
        <v>642.99699999999996</v>
      </c>
      <c r="G10" s="194">
        <f t="shared" si="2"/>
        <v>7.6967145169930005</v>
      </c>
      <c r="H10" s="196">
        <f t="shared" si="3"/>
        <v>154.37566412287481</v>
      </c>
      <c r="I10" s="196">
        <f t="shared" si="4"/>
        <v>125.73490734095827</v>
      </c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</row>
    <row r="11" spans="1:178" ht="14.1" customHeight="1" x14ac:dyDescent="0.3">
      <c r="A11" s="192" t="s">
        <v>349</v>
      </c>
      <c r="B11" s="193">
        <v>557.92700000000002</v>
      </c>
      <c r="C11" s="194">
        <f t="shared" si="0"/>
        <v>7.3458228661410692</v>
      </c>
      <c r="D11" s="195">
        <v>987.43100000000004</v>
      </c>
      <c r="E11" s="194">
        <f t="shared" si="1"/>
        <v>12.75733009892499</v>
      </c>
      <c r="F11" s="195">
        <v>1033.078</v>
      </c>
      <c r="G11" s="194">
        <f t="shared" si="2"/>
        <v>12.366008612460238</v>
      </c>
      <c r="H11" s="196">
        <f t="shared" si="3"/>
        <v>176.98211414754977</v>
      </c>
      <c r="I11" s="196">
        <f t="shared" si="4"/>
        <v>104.62280402377482</v>
      </c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</row>
    <row r="12" spans="1:178" ht="14.1" customHeight="1" x14ac:dyDescent="0.3">
      <c r="A12" s="197" t="s">
        <v>350</v>
      </c>
      <c r="B12" s="198">
        <f>SUM(B6:B11)</f>
        <v>6663.692</v>
      </c>
      <c r="C12" s="199">
        <f t="shared" si="0"/>
        <v>87.736031893995644</v>
      </c>
      <c r="D12" s="200">
        <f>SUM(D6:D11)</f>
        <v>6431.4969999999994</v>
      </c>
      <c r="E12" s="199">
        <f t="shared" si="1"/>
        <v>83.093127782342023</v>
      </c>
      <c r="F12" s="200">
        <f>SUM(F6:F11)</f>
        <v>7144.5669999999991</v>
      </c>
      <c r="G12" s="199">
        <f t="shared" si="2"/>
        <v>85.520916188612276</v>
      </c>
      <c r="H12" s="201">
        <f t="shared" si="3"/>
        <v>96.515520225124448</v>
      </c>
      <c r="I12" s="201">
        <f t="shared" si="4"/>
        <v>111.08715435924171</v>
      </c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</row>
    <row r="13" spans="1:178" ht="14.1" customHeight="1" x14ac:dyDescent="0.3">
      <c r="A13" s="202" t="s">
        <v>517</v>
      </c>
      <c r="B13" s="193">
        <v>922.49599999999998</v>
      </c>
      <c r="C13" s="194">
        <f t="shared" si="0"/>
        <v>12.145840245630112</v>
      </c>
      <c r="D13" s="195">
        <v>1299.1489999999999</v>
      </c>
      <c r="E13" s="194">
        <f t="shared" si="1"/>
        <v>16.784638765329731</v>
      </c>
      <c r="F13" s="195">
        <v>1197.739</v>
      </c>
      <c r="G13" s="194">
        <f t="shared" si="2"/>
        <v>14.337011135150989</v>
      </c>
      <c r="H13" s="196">
        <f t="shared" si="3"/>
        <v>140.82977053559037</v>
      </c>
      <c r="I13" s="196">
        <f t="shared" si="4"/>
        <v>92.194120920695028</v>
      </c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</row>
    <row r="14" spans="1:178" ht="14.1" customHeight="1" x14ac:dyDescent="0.3">
      <c r="A14" s="202" t="s">
        <v>351</v>
      </c>
      <c r="B14" s="193">
        <v>8.9719999999999995</v>
      </c>
      <c r="C14" s="194">
        <f t="shared" si="0"/>
        <v>0.11812786037423834</v>
      </c>
      <c r="D14" s="195">
        <v>9.4610000000000003</v>
      </c>
      <c r="E14" s="194">
        <f t="shared" si="1"/>
        <v>0.12223345232824302</v>
      </c>
      <c r="F14" s="195">
        <v>11.869</v>
      </c>
      <c r="G14" s="194">
        <f t="shared" si="2"/>
        <v>0.14207267623673195</v>
      </c>
      <c r="H14" s="196">
        <f t="shared" si="3"/>
        <v>105.45028979045921</v>
      </c>
      <c r="I14" s="196">
        <f t="shared" si="4"/>
        <v>125.45185498361695</v>
      </c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</row>
    <row r="15" spans="1:178" ht="14.1" customHeight="1" x14ac:dyDescent="0.3">
      <c r="A15" s="197" t="s">
        <v>352</v>
      </c>
      <c r="B15" s="198">
        <f>SUM(B13:B14)</f>
        <v>931.46799999999996</v>
      </c>
      <c r="C15" s="199">
        <f t="shared" si="0"/>
        <v>12.26396810600435</v>
      </c>
      <c r="D15" s="200">
        <f>SUM(D13:D14)</f>
        <v>1308.6099999999999</v>
      </c>
      <c r="E15" s="199">
        <f t="shared" si="1"/>
        <v>16.906872217657973</v>
      </c>
      <c r="F15" s="200">
        <f>SUM(F13:F14)</f>
        <v>1209.6079999999999</v>
      </c>
      <c r="G15" s="199">
        <f t="shared" si="2"/>
        <v>14.479083811387719</v>
      </c>
      <c r="H15" s="201">
        <f t="shared" si="3"/>
        <v>140.4889915702955</v>
      </c>
      <c r="I15" s="201">
        <f t="shared" si="4"/>
        <v>92.434567976708109</v>
      </c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</row>
    <row r="16" spans="1:178" ht="14.1" customHeight="1" thickBot="1" x14ac:dyDescent="0.35">
      <c r="A16" s="203" t="s">
        <v>353</v>
      </c>
      <c r="B16" s="204">
        <f t="shared" ref="B16:F16" si="5">B12+B15</f>
        <v>7595.16</v>
      </c>
      <c r="C16" s="205">
        <f t="shared" si="5"/>
        <v>100</v>
      </c>
      <c r="D16" s="206">
        <f t="shared" si="5"/>
        <v>7740.1069999999991</v>
      </c>
      <c r="E16" s="205">
        <f t="shared" ref="E16:G16" si="6">E12+E15</f>
        <v>100</v>
      </c>
      <c r="F16" s="206">
        <f t="shared" si="5"/>
        <v>8354.1749999999993</v>
      </c>
      <c r="G16" s="205">
        <f t="shared" si="6"/>
        <v>100</v>
      </c>
      <c r="H16" s="207">
        <f t="shared" si="3"/>
        <v>101.90841272599917</v>
      </c>
      <c r="I16" s="207">
        <f t="shared" si="4"/>
        <v>107.93358541425849</v>
      </c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</row>
  </sheetData>
  <mergeCells count="6">
    <mergeCell ref="I4:I5"/>
    <mergeCell ref="A4:A5"/>
    <mergeCell ref="B4:C4"/>
    <mergeCell ref="D4:E4"/>
    <mergeCell ref="F4:G4"/>
    <mergeCell ref="H4:H5"/>
  </mergeCells>
  <pageMargins left="0.7" right="0.7" top="0.75" bottom="0.75" header="0.3" footer="0.3"/>
  <pageSetup fitToHeight="0" orientation="landscape" r:id="rId1"/>
  <ignoredErrors>
    <ignoredError sqref="C12:C15 D12 E12:E15 F12 D15 F15" formula="1"/>
  </ignoredError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C1E64-9BE2-4C31-8F0D-D97A8339F51E}">
  <sheetPr codeName="Sheet45"/>
  <dimension ref="A1:GA21"/>
  <sheetViews>
    <sheetView showGridLines="0" zoomScaleNormal="100" workbookViewId="0">
      <selection activeCell="F30" sqref="F30"/>
    </sheetView>
  </sheetViews>
  <sheetFormatPr defaultColWidth="8.5546875" defaultRowHeight="14.4" x14ac:dyDescent="0.3"/>
  <cols>
    <col min="1" max="1" width="50.6640625" style="26" customWidth="1"/>
    <col min="2" max="4" width="12.5546875" style="26" customWidth="1"/>
    <col min="5" max="5" width="10.44140625" style="26" customWidth="1"/>
    <col min="6" max="14" width="5.77734375" style="26" customWidth="1"/>
    <col min="15" max="16384" width="8.5546875" style="26"/>
  </cols>
  <sheetData>
    <row r="1" spans="1:183" x14ac:dyDescent="0.3"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</row>
    <row r="2" spans="1:183" ht="15" customHeight="1" x14ac:dyDescent="0.3">
      <c r="A2" s="46" t="s">
        <v>354</v>
      </c>
      <c r="B2" s="46"/>
      <c r="C2" s="46"/>
      <c r="D2" s="49" t="s">
        <v>3</v>
      </c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</row>
    <row r="3" spans="1:183" x14ac:dyDescent="0.3">
      <c r="A3" s="63" t="s">
        <v>10</v>
      </c>
      <c r="B3" s="170" t="str">
        <f>B12</f>
        <v>2022.</v>
      </c>
      <c r="C3" s="171" t="str">
        <f t="shared" ref="C3:D3" si="0">C12</f>
        <v>2023.</v>
      </c>
      <c r="D3" s="171" t="str">
        <f t="shared" si="0"/>
        <v>2024.</v>
      </c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</row>
    <row r="4" spans="1:183" ht="14.1" customHeight="1" x14ac:dyDescent="0.3">
      <c r="A4" s="53" t="s">
        <v>355</v>
      </c>
      <c r="B4" s="172">
        <f>IF(B14&lt;&gt;0,B13*100/B14,0)</f>
        <v>27.374921762526423</v>
      </c>
      <c r="C4" s="173">
        <f>IF(C14&lt;&gt;0,C13*100/C14,0)</f>
        <v>25.742088416249636</v>
      </c>
      <c r="D4" s="173">
        <f>IF(D14&lt;&gt;0,D13*100/D14,0)</f>
        <v>25.817073238134014</v>
      </c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</row>
    <row r="5" spans="1:183" ht="14.1" customHeight="1" x14ac:dyDescent="0.3">
      <c r="A5" s="53" t="s">
        <v>356</v>
      </c>
      <c r="B5" s="172">
        <f>IF(B15&lt;&gt;0,B13*100/B15,0)</f>
        <v>38.707741597591578</v>
      </c>
      <c r="C5" s="173">
        <f>IF(C15&lt;&gt;0,C13*100/C15,0)</f>
        <v>38.674335191251544</v>
      </c>
      <c r="D5" s="173">
        <f>IF(D15&lt;&gt;0,D13*100/D15,0)</f>
        <v>37.688943623551509</v>
      </c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</row>
    <row r="6" spans="1:183" ht="14.1" customHeight="1" x14ac:dyDescent="0.3">
      <c r="A6" s="53" t="s">
        <v>357</v>
      </c>
      <c r="B6" s="172">
        <f>IF(B16&lt;&gt;0,B15*100/B16,0)</f>
        <v>80.912125816732711</v>
      </c>
      <c r="C6" s="173">
        <f>IF(C16&lt;&gt;0,C15*100/C16,0)</f>
        <v>76.674413193687599</v>
      </c>
      <c r="D6" s="173">
        <f>IF(D16&lt;&gt;0,D15*100/D16,0)</f>
        <v>79.513116980086224</v>
      </c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</row>
    <row r="7" spans="1:183" ht="14.1" customHeight="1" x14ac:dyDescent="0.3">
      <c r="A7" s="53" t="s">
        <v>358</v>
      </c>
      <c r="B7" s="172">
        <f>IF(B18+B19&lt;&gt;0,B17*100/(B18+B19),0)</f>
        <v>69.795399793610613</v>
      </c>
      <c r="C7" s="173">
        <f>IF(C18+C19&lt;&gt;0,C17*100/(C18+C19),0)</f>
        <v>71.607652204344902</v>
      </c>
      <c r="D7" s="173">
        <f>IF(D18+D19&lt;&gt;0,D17*100/(D18+D19),0)</f>
        <v>74.180160220813278</v>
      </c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</row>
    <row r="8" spans="1:183" ht="14.1" customHeight="1" thickBot="1" x14ac:dyDescent="0.35">
      <c r="A8" s="58" t="s">
        <v>359</v>
      </c>
      <c r="B8" s="174">
        <f>IF(B18+B19+B20&lt;&gt;0,B17*100/(B18+B19+B20),0)</f>
        <v>69.358616196883361</v>
      </c>
      <c r="C8" s="175">
        <f>IF(C18+C19+C20&lt;&gt;0,C17*100/(C18+C19+C20),0)</f>
        <v>71.012805546944207</v>
      </c>
      <c r="D8" s="175">
        <f>IF(D18+D19+D20&lt;&gt;0,D17*100/(D18+D19+D20),0)</f>
        <v>73.370073366095369</v>
      </c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</row>
    <row r="9" spans="1:183" ht="25.5" customHeight="1" x14ac:dyDescent="0.3">
      <c r="A9" s="855" t="s">
        <v>360</v>
      </c>
      <c r="B9" s="855"/>
      <c r="C9" s="855"/>
      <c r="D9" s="855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</row>
    <row r="10" spans="1:183" ht="15.6" x14ac:dyDescent="0.3">
      <c r="B10" s="208"/>
      <c r="C10" s="208"/>
      <c r="D10" s="208"/>
    </row>
    <row r="11" spans="1:183" ht="15.6" x14ac:dyDescent="0.3">
      <c r="A11" s="209"/>
      <c r="B11" s="208"/>
      <c r="C11" s="208"/>
      <c r="D11" s="208"/>
    </row>
    <row r="12" spans="1:183" hidden="1" x14ac:dyDescent="0.3">
      <c r="A12" s="375" t="s">
        <v>134</v>
      </c>
      <c r="B12" s="373" t="s">
        <v>522</v>
      </c>
      <c r="C12" s="373" t="s">
        <v>551</v>
      </c>
      <c r="D12" s="373" t="s">
        <v>559</v>
      </c>
      <c r="E12"/>
      <c r="F12"/>
      <c r="G12"/>
      <c r="H12"/>
      <c r="I12"/>
      <c r="J12"/>
      <c r="K12"/>
      <c r="L12"/>
      <c r="M12"/>
      <c r="N12"/>
    </row>
    <row r="13" spans="1:183" customFormat="1" ht="14.1" hidden="1" customHeight="1" x14ac:dyDescent="0.3">
      <c r="A13" s="374" t="s">
        <v>361</v>
      </c>
      <c r="B13" s="300">
        <v>2671.0129999999999</v>
      </c>
      <c r="C13" s="300">
        <v>2582.08</v>
      </c>
      <c r="D13" s="300">
        <v>2802.6550000000002</v>
      </c>
    </row>
    <row r="14" spans="1:183" customFormat="1" ht="14.1" hidden="1" customHeight="1" x14ac:dyDescent="0.3">
      <c r="A14" s="374" t="s">
        <v>362</v>
      </c>
      <c r="B14" s="300">
        <v>9757.1530000000002</v>
      </c>
      <c r="C14" s="300">
        <v>10030.576999999999</v>
      </c>
      <c r="D14" s="300">
        <v>10855.82</v>
      </c>
      <c r="X14" s="22"/>
    </row>
    <row r="15" spans="1:183" customFormat="1" ht="14.1" hidden="1" customHeight="1" x14ac:dyDescent="0.3">
      <c r="A15" s="374" t="s">
        <v>363</v>
      </c>
      <c r="B15" s="300">
        <v>6900.4620000000004</v>
      </c>
      <c r="C15" s="300">
        <v>6676.4690000000001</v>
      </c>
      <c r="D15" s="300">
        <v>7436.2790000000005</v>
      </c>
      <c r="X15" s="22"/>
    </row>
    <row r="16" spans="1:183" customFormat="1" ht="14.1" hidden="1" customHeight="1" x14ac:dyDescent="0.3">
      <c r="A16" s="374" t="s">
        <v>364</v>
      </c>
      <c r="B16" s="300">
        <v>8528.3410000000003</v>
      </c>
      <c r="C16" s="300">
        <v>8707.5580000000009</v>
      </c>
      <c r="D16" s="300">
        <v>9352.2669999999998</v>
      </c>
      <c r="X16" s="22"/>
    </row>
    <row r="17" spans="1:24" customFormat="1" ht="14.1" hidden="1" customHeight="1" x14ac:dyDescent="0.3">
      <c r="A17" s="374" t="s">
        <v>365</v>
      </c>
      <c r="B17" s="300">
        <v>5792.91</v>
      </c>
      <c r="C17" s="300">
        <v>6056.5429999999997</v>
      </c>
      <c r="D17" s="300">
        <v>6695.1629999999996</v>
      </c>
      <c r="X17" s="22"/>
    </row>
    <row r="18" spans="1:24" customFormat="1" ht="14.1" hidden="1" customHeight="1" x14ac:dyDescent="0.3">
      <c r="A18" s="374" t="s">
        <v>366</v>
      </c>
      <c r="B18" s="300">
        <v>7595.16</v>
      </c>
      <c r="C18" s="300">
        <v>7740.107</v>
      </c>
      <c r="D18" s="300">
        <v>8354.1749999999993</v>
      </c>
      <c r="X18" s="22"/>
    </row>
    <row r="19" spans="1:24" customFormat="1" ht="14.1" hidden="1" customHeight="1" x14ac:dyDescent="0.3">
      <c r="A19" s="374" t="s">
        <v>367</v>
      </c>
      <c r="B19" s="300">
        <v>704.68499999999995</v>
      </c>
      <c r="C19" s="300">
        <v>717.84799999999996</v>
      </c>
      <c r="D19" s="300">
        <v>671.36900000000003</v>
      </c>
      <c r="X19" s="22"/>
    </row>
    <row r="20" spans="1:24" customFormat="1" ht="14.1" hidden="1" customHeight="1" x14ac:dyDescent="0.3">
      <c r="A20" s="374" t="s">
        <v>368</v>
      </c>
      <c r="B20" s="300">
        <v>52.268000000000001</v>
      </c>
      <c r="C20" s="300">
        <v>70.849000000000004</v>
      </c>
      <c r="D20" s="300">
        <v>99.652000000000001</v>
      </c>
      <c r="X20" s="22"/>
    </row>
    <row r="21" spans="1:24" x14ac:dyDescent="0.3">
      <c r="E21"/>
      <c r="F21"/>
      <c r="G21"/>
      <c r="H21"/>
      <c r="I21"/>
      <c r="J21"/>
      <c r="K21"/>
      <c r="L21"/>
      <c r="M21"/>
      <c r="N21"/>
    </row>
  </sheetData>
  <mergeCells count="1">
    <mergeCell ref="A9:D9"/>
  </mergeCells>
  <pageMargins left="0.7" right="0.7" top="0.75" bottom="0.75" header="0.3" footer="0.3"/>
  <pageSetup orientation="portrait" r:id="rId1"/>
  <ignoredErrors>
    <ignoredError sqref="B5:D5" formula="1"/>
  </ignoredError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sheetPr codeName="Sheet101"/>
  <dimension ref="A1:FQ18"/>
  <sheetViews>
    <sheetView showGridLines="0" zoomScaleNormal="100" workbookViewId="0">
      <selection activeCell="O25" sqref="O25"/>
    </sheetView>
  </sheetViews>
  <sheetFormatPr defaultColWidth="9.109375" defaultRowHeight="12" x14ac:dyDescent="0.25"/>
  <cols>
    <col min="1" max="1" width="12" style="3" customWidth="1"/>
    <col min="2" max="2" width="10.6640625" style="3" customWidth="1"/>
    <col min="3" max="3" width="8.33203125" style="3" customWidth="1"/>
    <col min="4" max="4" width="10.6640625" style="3" customWidth="1"/>
    <col min="5" max="5" width="8.33203125" style="3" customWidth="1"/>
    <col min="6" max="6" width="10.6640625" style="3" customWidth="1"/>
    <col min="7" max="7" width="8.33203125" style="3" customWidth="1"/>
    <col min="8" max="8" width="10.6640625" style="3" customWidth="1"/>
    <col min="9" max="9" width="8.33203125" style="3" customWidth="1"/>
    <col min="10" max="16384" width="9.109375" style="3"/>
  </cols>
  <sheetData>
    <row r="1" spans="1:173" ht="14.4" x14ac:dyDescent="0.3">
      <c r="B1" s="120"/>
      <c r="C1" s="120"/>
      <c r="D1" s="120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1:173" ht="15" customHeight="1" x14ac:dyDescent="0.3">
      <c r="A2" s="46" t="s">
        <v>307</v>
      </c>
      <c r="B2" s="46"/>
      <c r="C2" s="46"/>
      <c r="D2" s="46"/>
      <c r="E2" s="46"/>
      <c r="F2" s="46"/>
      <c r="G2" s="46"/>
      <c r="H2" s="46"/>
      <c r="I2" s="256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</row>
    <row r="3" spans="1:173" ht="14.4" x14ac:dyDescent="0.3">
      <c r="A3" s="751" t="s">
        <v>31</v>
      </c>
      <c r="B3" s="767" t="s">
        <v>144</v>
      </c>
      <c r="C3" s="859"/>
      <c r="D3" s="858" t="s">
        <v>145</v>
      </c>
      <c r="E3" s="856"/>
      <c r="F3" s="856"/>
      <c r="G3" s="857"/>
      <c r="H3" s="765" t="s">
        <v>16</v>
      </c>
      <c r="I3" s="765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</row>
    <row r="4" spans="1:173" ht="22.5" customHeight="1" x14ac:dyDescent="0.3">
      <c r="A4" s="751"/>
      <c r="B4" s="858"/>
      <c r="C4" s="857"/>
      <c r="D4" s="858" t="s">
        <v>118</v>
      </c>
      <c r="E4" s="856"/>
      <c r="F4" s="856" t="s">
        <v>119</v>
      </c>
      <c r="G4" s="857"/>
      <c r="H4" s="856"/>
      <c r="I4" s="856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</row>
    <row r="5" spans="1:173" ht="29.25" customHeight="1" x14ac:dyDescent="0.3">
      <c r="A5" s="752"/>
      <c r="B5" s="51" t="s">
        <v>120</v>
      </c>
      <c r="C5" s="80" t="s">
        <v>374</v>
      </c>
      <c r="D5" s="51" t="s">
        <v>120</v>
      </c>
      <c r="E5" s="52" t="s">
        <v>374</v>
      </c>
      <c r="F5" s="52" t="s">
        <v>120</v>
      </c>
      <c r="G5" s="80" t="s">
        <v>374</v>
      </c>
      <c r="H5" s="52" t="s">
        <v>120</v>
      </c>
      <c r="I5" s="52" t="s">
        <v>399</v>
      </c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</row>
    <row r="6" spans="1:173" ht="14.1" customHeight="1" x14ac:dyDescent="0.3">
      <c r="A6" s="410" t="s">
        <v>571</v>
      </c>
      <c r="B6" s="411">
        <v>1502714</v>
      </c>
      <c r="C6" s="412">
        <v>1363.3240000000001</v>
      </c>
      <c r="D6" s="411">
        <v>2899541</v>
      </c>
      <c r="E6" s="126">
        <v>3092.6179999999999</v>
      </c>
      <c r="F6" s="351">
        <v>1438898</v>
      </c>
      <c r="G6" s="412">
        <v>2859.2440000000001</v>
      </c>
      <c r="H6" s="351">
        <f t="shared" ref="H6:H17" si="0">B6+D6+F6</f>
        <v>5841153</v>
      </c>
      <c r="I6" s="126">
        <f t="shared" ref="I6:I17" si="1">C6+E6+G6</f>
        <v>7315.1859999999997</v>
      </c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</row>
    <row r="7" spans="1:173" ht="14.1" customHeight="1" x14ac:dyDescent="0.3">
      <c r="A7" s="410" t="s">
        <v>572</v>
      </c>
      <c r="B7" s="411">
        <v>1564111</v>
      </c>
      <c r="C7" s="412">
        <v>1338.654</v>
      </c>
      <c r="D7" s="411">
        <v>3003227</v>
      </c>
      <c r="E7" s="126">
        <v>3636.018</v>
      </c>
      <c r="F7" s="351">
        <v>1558206</v>
      </c>
      <c r="G7" s="412">
        <v>3306.42</v>
      </c>
      <c r="H7" s="351">
        <f t="shared" si="0"/>
        <v>6125544</v>
      </c>
      <c r="I7" s="126">
        <f t="shared" si="1"/>
        <v>8281.0920000000006</v>
      </c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</row>
    <row r="8" spans="1:173" ht="14.1" customHeight="1" x14ac:dyDescent="0.3">
      <c r="A8" s="410" t="s">
        <v>569</v>
      </c>
      <c r="B8" s="411">
        <v>1641476</v>
      </c>
      <c r="C8" s="412">
        <v>1457.4380000000001</v>
      </c>
      <c r="D8" s="411">
        <v>3214731</v>
      </c>
      <c r="E8" s="126">
        <v>4194.18</v>
      </c>
      <c r="F8" s="351">
        <v>1594955</v>
      </c>
      <c r="G8" s="412">
        <v>3446.4180000000001</v>
      </c>
      <c r="H8" s="351">
        <f t="shared" si="0"/>
        <v>6451162</v>
      </c>
      <c r="I8" s="126">
        <f t="shared" si="1"/>
        <v>9098.0360000000001</v>
      </c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</row>
    <row r="9" spans="1:173" ht="14.1" customHeight="1" x14ac:dyDescent="0.3">
      <c r="A9" s="410" t="s">
        <v>573</v>
      </c>
      <c r="B9" s="411">
        <v>1735686</v>
      </c>
      <c r="C9" s="412">
        <v>1691.2080000000001</v>
      </c>
      <c r="D9" s="411">
        <v>3409670</v>
      </c>
      <c r="E9" s="126">
        <v>4381.8040000000001</v>
      </c>
      <c r="F9" s="351">
        <v>1637242</v>
      </c>
      <c r="G9" s="412">
        <v>3743.6759999999999</v>
      </c>
      <c r="H9" s="351">
        <f t="shared" si="0"/>
        <v>6782598</v>
      </c>
      <c r="I9" s="126">
        <f t="shared" si="1"/>
        <v>9816.6880000000001</v>
      </c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</row>
    <row r="10" spans="1:173" ht="14.1" customHeight="1" x14ac:dyDescent="0.3">
      <c r="A10" s="410" t="s">
        <v>574</v>
      </c>
      <c r="B10" s="411">
        <v>1550101</v>
      </c>
      <c r="C10" s="412">
        <v>1524.0229999999999</v>
      </c>
      <c r="D10" s="411">
        <v>3086591</v>
      </c>
      <c r="E10" s="126">
        <v>3790.5360000000001</v>
      </c>
      <c r="F10" s="351">
        <v>1582567</v>
      </c>
      <c r="G10" s="412">
        <v>3821.413</v>
      </c>
      <c r="H10" s="351">
        <f t="shared" si="0"/>
        <v>6219259</v>
      </c>
      <c r="I10" s="126">
        <f t="shared" si="1"/>
        <v>9135.9719999999998</v>
      </c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</row>
    <row r="11" spans="1:173" ht="14.1" customHeight="1" x14ac:dyDescent="0.3">
      <c r="A11" s="410" t="s">
        <v>552</v>
      </c>
      <c r="B11" s="411">
        <v>1585221</v>
      </c>
      <c r="C11" s="412">
        <v>1456.425</v>
      </c>
      <c r="D11" s="411">
        <v>3179496</v>
      </c>
      <c r="E11" s="126">
        <v>3991.8580000000002</v>
      </c>
      <c r="F11" s="351">
        <v>1592545</v>
      </c>
      <c r="G11" s="412">
        <v>3920.5790000000002</v>
      </c>
      <c r="H11" s="351">
        <f t="shared" si="0"/>
        <v>6357262</v>
      </c>
      <c r="I11" s="126">
        <f t="shared" si="1"/>
        <v>9368.862000000001</v>
      </c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</row>
    <row r="12" spans="1:173" ht="14.1" customHeight="1" x14ac:dyDescent="0.3">
      <c r="A12" s="410" t="s">
        <v>575</v>
      </c>
      <c r="B12" s="411">
        <v>1701475</v>
      </c>
      <c r="C12" s="412">
        <v>1802.086</v>
      </c>
      <c r="D12" s="411">
        <v>3469990</v>
      </c>
      <c r="E12" s="126">
        <v>3933.3620000000001</v>
      </c>
      <c r="F12" s="351">
        <v>1771728</v>
      </c>
      <c r="G12" s="412">
        <v>3651.5459999999998</v>
      </c>
      <c r="H12" s="351">
        <f t="shared" si="0"/>
        <v>6943193</v>
      </c>
      <c r="I12" s="126">
        <f t="shared" si="1"/>
        <v>9386.9940000000006</v>
      </c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</row>
    <row r="13" spans="1:173" ht="14.1" customHeight="1" x14ac:dyDescent="0.3">
      <c r="A13" s="410" t="s">
        <v>576</v>
      </c>
      <c r="B13" s="411">
        <v>1612663</v>
      </c>
      <c r="C13" s="412">
        <v>1813.835</v>
      </c>
      <c r="D13" s="411">
        <v>3324342</v>
      </c>
      <c r="E13" s="126">
        <v>3697.326</v>
      </c>
      <c r="F13" s="351">
        <v>1649307</v>
      </c>
      <c r="G13" s="412">
        <v>3504.5340000000001</v>
      </c>
      <c r="H13" s="351">
        <f t="shared" si="0"/>
        <v>6586312</v>
      </c>
      <c r="I13" s="126">
        <f t="shared" si="1"/>
        <v>9015.6949999999997</v>
      </c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</row>
    <row r="14" spans="1:173" ht="14.1" customHeight="1" x14ac:dyDescent="0.3">
      <c r="A14" s="410" t="s">
        <v>570</v>
      </c>
      <c r="B14" s="411">
        <v>1562091</v>
      </c>
      <c r="C14" s="412">
        <v>1572.287</v>
      </c>
      <c r="D14" s="411">
        <v>3224354</v>
      </c>
      <c r="E14" s="126">
        <v>3814.123</v>
      </c>
      <c r="F14" s="351">
        <v>1626442</v>
      </c>
      <c r="G14" s="412">
        <v>3509.8330000000001</v>
      </c>
      <c r="H14" s="351">
        <f t="shared" si="0"/>
        <v>6412887</v>
      </c>
      <c r="I14" s="126">
        <f t="shared" si="1"/>
        <v>8896.2430000000004</v>
      </c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</row>
    <row r="15" spans="1:173" ht="14.1" customHeight="1" x14ac:dyDescent="0.3">
      <c r="A15" s="410" t="s">
        <v>577</v>
      </c>
      <c r="B15" s="411">
        <v>1638515</v>
      </c>
      <c r="C15" s="412">
        <v>1686</v>
      </c>
      <c r="D15" s="411">
        <v>3433559</v>
      </c>
      <c r="E15" s="126">
        <v>4192.7160000000003</v>
      </c>
      <c r="F15" s="351">
        <v>1750292</v>
      </c>
      <c r="G15" s="412">
        <v>4171.5959999999995</v>
      </c>
      <c r="H15" s="351">
        <f t="shared" si="0"/>
        <v>6822366</v>
      </c>
      <c r="I15" s="126">
        <f t="shared" si="1"/>
        <v>10050.312</v>
      </c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</row>
    <row r="16" spans="1:173" ht="14.1" customHeight="1" x14ac:dyDescent="0.3">
      <c r="A16" s="410" t="s">
        <v>578</v>
      </c>
      <c r="B16" s="411">
        <v>1525154</v>
      </c>
      <c r="C16" s="412">
        <v>1493.395</v>
      </c>
      <c r="D16" s="411">
        <v>3257276</v>
      </c>
      <c r="E16" s="126">
        <v>3708.4929999999999</v>
      </c>
      <c r="F16" s="351">
        <v>1652993</v>
      </c>
      <c r="G16" s="412">
        <v>3210.732</v>
      </c>
      <c r="H16" s="351">
        <f t="shared" si="0"/>
        <v>6435423</v>
      </c>
      <c r="I16" s="126">
        <f t="shared" si="1"/>
        <v>8412.619999999999</v>
      </c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</row>
    <row r="17" spans="1:173" ht="14.1" customHeight="1" x14ac:dyDescent="0.3">
      <c r="A17" s="410" t="s">
        <v>566</v>
      </c>
      <c r="B17" s="411">
        <v>1618731</v>
      </c>
      <c r="C17" s="412">
        <v>1655.14</v>
      </c>
      <c r="D17" s="411">
        <v>3481474</v>
      </c>
      <c r="E17" s="126">
        <v>4740.8620000000001</v>
      </c>
      <c r="F17" s="351">
        <v>1789904</v>
      </c>
      <c r="G17" s="412">
        <v>4197.7070000000003</v>
      </c>
      <c r="H17" s="351">
        <f t="shared" si="0"/>
        <v>6890109</v>
      </c>
      <c r="I17" s="126">
        <f t="shared" si="1"/>
        <v>10593.709000000001</v>
      </c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</row>
    <row r="18" spans="1:173" ht="14.1" customHeight="1" thickBot="1" x14ac:dyDescent="0.35">
      <c r="A18" s="413" t="s">
        <v>30</v>
      </c>
      <c r="B18" s="414">
        <f t="shared" ref="B18:I18" si="2">SUM(B6:B17)</f>
        <v>19237938</v>
      </c>
      <c r="C18" s="415">
        <f t="shared" si="2"/>
        <v>18853.814999999999</v>
      </c>
      <c r="D18" s="414">
        <f t="shared" si="2"/>
        <v>38984251</v>
      </c>
      <c r="E18" s="127">
        <f t="shared" si="2"/>
        <v>47173.896000000008</v>
      </c>
      <c r="F18" s="408">
        <f t="shared" si="2"/>
        <v>19645079</v>
      </c>
      <c r="G18" s="415">
        <f t="shared" si="2"/>
        <v>43343.697999999997</v>
      </c>
      <c r="H18" s="408">
        <f t="shared" si="2"/>
        <v>77867268</v>
      </c>
      <c r="I18" s="127">
        <f t="shared" si="2"/>
        <v>109371.409</v>
      </c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</row>
  </sheetData>
  <mergeCells count="6">
    <mergeCell ref="A3:A5"/>
    <mergeCell ref="H3:I4"/>
    <mergeCell ref="F4:G4"/>
    <mergeCell ref="D4:E4"/>
    <mergeCell ref="D3:G3"/>
    <mergeCell ref="B3:C4"/>
  </mergeCells>
  <pageMargins left="0.7" right="0.7" top="0.75" bottom="0.75" header="0.3" footer="0.3"/>
  <pageSetup paperSize="9" scale="99" orientation="portrait" verticalDpi="0" r:id="rId1"/>
  <colBreaks count="1" manualBreakCount="1">
    <brk id="9" max="1048575" man="1"/>
  </col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sheetPr codeName="Sheet107">
    <tabColor theme="0" tint="-4.9989318521683403E-2"/>
  </sheetPr>
  <dimension ref="A1:FQ13"/>
  <sheetViews>
    <sheetView showGridLines="0" topLeftCell="C1" zoomScaleNormal="100" workbookViewId="0">
      <selection activeCell="L26" sqref="L26"/>
    </sheetView>
  </sheetViews>
  <sheetFormatPr defaultColWidth="9.109375" defaultRowHeight="12" x14ac:dyDescent="0.25"/>
  <cols>
    <col min="1" max="1" width="9.5546875" style="3" hidden="1" customWidth="1"/>
    <col min="2" max="2" width="34.77734375" style="3" customWidth="1"/>
    <col min="3" max="3" width="12.88671875" style="3" customWidth="1"/>
    <col min="4" max="4" width="26" style="3" customWidth="1"/>
    <col min="5" max="5" width="27.77734375" style="3" customWidth="1"/>
    <col min="6" max="6" width="9.109375" style="3"/>
    <col min="7" max="7" width="12.44140625" style="3" customWidth="1"/>
    <col min="8" max="8" width="12.109375" style="3" customWidth="1"/>
    <col min="9" max="9" width="9.33203125" style="3" customWidth="1"/>
    <col min="10" max="10" width="9.6640625" style="3" customWidth="1"/>
    <col min="11" max="16384" width="9.109375" style="3"/>
  </cols>
  <sheetData>
    <row r="1" spans="2:173" ht="14.4" x14ac:dyDescent="0.3">
      <c r="B1" s="120"/>
      <c r="C1" s="120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2:173" x14ac:dyDescent="0.25">
      <c r="B2" s="46" t="s">
        <v>269</v>
      </c>
      <c r="C2" s="46"/>
      <c r="D2" s="46"/>
      <c r="E2" s="46"/>
      <c r="F2" s="46"/>
      <c r="G2" s="46"/>
      <c r="H2" s="46"/>
      <c r="I2" s="46"/>
      <c r="J2" s="256" t="s">
        <v>378</v>
      </c>
    </row>
    <row r="3" spans="2:173" x14ac:dyDescent="0.25">
      <c r="B3" s="864" t="s">
        <v>122</v>
      </c>
      <c r="C3" s="860" t="s">
        <v>123</v>
      </c>
      <c r="D3" s="860" t="s">
        <v>124</v>
      </c>
      <c r="E3" s="860" t="s">
        <v>125</v>
      </c>
      <c r="F3" s="861" t="s">
        <v>559</v>
      </c>
      <c r="G3" s="862"/>
      <c r="H3" s="862"/>
      <c r="I3" s="862"/>
      <c r="J3" s="863"/>
    </row>
    <row r="4" spans="2:173" ht="24" customHeight="1" x14ac:dyDescent="0.25">
      <c r="B4" s="864"/>
      <c r="C4" s="860"/>
      <c r="D4" s="860"/>
      <c r="E4" s="860"/>
      <c r="F4" s="301" t="s">
        <v>380</v>
      </c>
      <c r="G4" s="301" t="s">
        <v>139</v>
      </c>
      <c r="H4" s="301" t="s">
        <v>133</v>
      </c>
      <c r="I4" s="301" t="s">
        <v>199</v>
      </c>
      <c r="J4" s="302" t="s">
        <v>1</v>
      </c>
    </row>
    <row r="5" spans="2:173" ht="15" customHeight="1" x14ac:dyDescent="0.25">
      <c r="B5" s="303" t="s">
        <v>532</v>
      </c>
      <c r="C5" s="306" t="s">
        <v>584</v>
      </c>
      <c r="D5" s="306" t="s">
        <v>585</v>
      </c>
      <c r="E5" s="306" t="s">
        <v>586</v>
      </c>
      <c r="F5" s="304">
        <v>3040.1869999999999</v>
      </c>
      <c r="G5" s="304">
        <v>365.61799999999999</v>
      </c>
      <c r="H5" s="304">
        <v>1897.2940000000001</v>
      </c>
      <c r="I5" s="304">
        <v>2280.6179999999999</v>
      </c>
      <c r="J5" s="305">
        <v>698</v>
      </c>
    </row>
    <row r="6" spans="2:173" ht="15" customHeight="1" x14ac:dyDescent="0.25">
      <c r="B6" s="306" t="s">
        <v>533</v>
      </c>
      <c r="C6" s="306" t="s">
        <v>584</v>
      </c>
      <c r="D6" s="306" t="s">
        <v>594</v>
      </c>
      <c r="E6" s="306" t="s">
        <v>587</v>
      </c>
      <c r="F6" s="307">
        <v>2302.529</v>
      </c>
      <c r="G6" s="307">
        <v>258.05500000000001</v>
      </c>
      <c r="H6" s="307">
        <v>1291.701</v>
      </c>
      <c r="I6" s="307">
        <v>1813.692</v>
      </c>
      <c r="J6" s="308">
        <v>528</v>
      </c>
    </row>
    <row r="7" spans="2:173" ht="15" customHeight="1" x14ac:dyDescent="0.25">
      <c r="B7" s="306" t="s">
        <v>534</v>
      </c>
      <c r="C7" s="306" t="s">
        <v>584</v>
      </c>
      <c r="D7" s="306" t="s">
        <v>593</v>
      </c>
      <c r="E7" s="306" t="s">
        <v>579</v>
      </c>
      <c r="F7" s="307">
        <v>1439.269</v>
      </c>
      <c r="G7" s="307">
        <v>261.52100000000002</v>
      </c>
      <c r="H7" s="307">
        <v>819.21100000000001</v>
      </c>
      <c r="I7" s="307">
        <v>1101.559</v>
      </c>
      <c r="J7" s="308">
        <v>383</v>
      </c>
    </row>
    <row r="8" spans="2:173" ht="15" customHeight="1" x14ac:dyDescent="0.25">
      <c r="B8" s="306" t="s">
        <v>535</v>
      </c>
      <c r="C8" s="306" t="s">
        <v>584</v>
      </c>
      <c r="D8" s="306" t="s">
        <v>580</v>
      </c>
      <c r="E8" s="306" t="s">
        <v>588</v>
      </c>
      <c r="F8" s="307">
        <v>1273.491</v>
      </c>
      <c r="G8" s="307">
        <v>197.06299999999999</v>
      </c>
      <c r="H8" s="307">
        <v>812.45699999999999</v>
      </c>
      <c r="I8" s="307">
        <v>955.54</v>
      </c>
      <c r="J8" s="308">
        <v>414</v>
      </c>
    </row>
    <row r="9" spans="2:173" ht="15" customHeight="1" x14ac:dyDescent="0.25">
      <c r="B9" s="306" t="s">
        <v>536</v>
      </c>
      <c r="C9" s="306" t="s">
        <v>584</v>
      </c>
      <c r="D9" s="306" t="s">
        <v>582</v>
      </c>
      <c r="E9" s="306" t="s">
        <v>589</v>
      </c>
      <c r="F9" s="307">
        <v>1076.6600000000001</v>
      </c>
      <c r="G9" s="307">
        <v>198.06</v>
      </c>
      <c r="H9" s="307">
        <v>709.26300000000003</v>
      </c>
      <c r="I9" s="307">
        <v>843.04100000000005</v>
      </c>
      <c r="J9" s="308">
        <v>352</v>
      </c>
    </row>
    <row r="10" spans="2:173" ht="15" customHeight="1" x14ac:dyDescent="0.25">
      <c r="B10" s="306" t="s">
        <v>537</v>
      </c>
      <c r="C10" s="306" t="s">
        <v>584</v>
      </c>
      <c r="D10" s="306" t="s">
        <v>583</v>
      </c>
      <c r="E10" s="306" t="s">
        <v>595</v>
      </c>
      <c r="F10" s="307">
        <v>831.41600000000005</v>
      </c>
      <c r="G10" s="307">
        <v>109.965</v>
      </c>
      <c r="H10" s="307">
        <v>647.899</v>
      </c>
      <c r="I10" s="307">
        <v>644.90499999999997</v>
      </c>
      <c r="J10" s="308">
        <v>348</v>
      </c>
    </row>
    <row r="11" spans="2:173" ht="15" customHeight="1" x14ac:dyDescent="0.25">
      <c r="B11" s="306" t="s">
        <v>538</v>
      </c>
      <c r="C11" s="306" t="s">
        <v>584</v>
      </c>
      <c r="D11" s="306" t="s">
        <v>581</v>
      </c>
      <c r="E11" s="306" t="s">
        <v>591</v>
      </c>
      <c r="F11" s="307">
        <v>556.25599999999997</v>
      </c>
      <c r="G11" s="307">
        <v>58.933999999999997</v>
      </c>
      <c r="H11" s="307">
        <v>310.51600000000002</v>
      </c>
      <c r="I11" s="307">
        <v>446.53399999999999</v>
      </c>
      <c r="J11" s="308">
        <v>202</v>
      </c>
    </row>
    <row r="12" spans="2:173" ht="15" customHeight="1" x14ac:dyDescent="0.25">
      <c r="B12" s="309" t="s">
        <v>561</v>
      </c>
      <c r="C12" s="306" t="s">
        <v>584</v>
      </c>
      <c r="D12" s="306" t="s">
        <v>592</v>
      </c>
      <c r="E12" s="306" t="s">
        <v>590</v>
      </c>
      <c r="F12" s="310">
        <v>336.012</v>
      </c>
      <c r="G12" s="310">
        <v>37.429000000000002</v>
      </c>
      <c r="H12" s="310">
        <v>206.822</v>
      </c>
      <c r="I12" s="310">
        <v>268.286</v>
      </c>
      <c r="J12" s="311">
        <v>214</v>
      </c>
    </row>
    <row r="13" spans="2:173" ht="15" customHeight="1" thickBot="1" x14ac:dyDescent="0.3">
      <c r="B13" s="312"/>
      <c r="C13" s="313"/>
      <c r="D13" s="314"/>
      <c r="E13" s="315" t="s">
        <v>30</v>
      </c>
      <c r="F13" s="315">
        <f>SUM(F5:F12)</f>
        <v>10855.82</v>
      </c>
      <c r="G13" s="315">
        <f t="shared" ref="G13:I13" si="0">SUM(G5:G12)</f>
        <v>1486.645</v>
      </c>
      <c r="H13" s="315">
        <f t="shared" si="0"/>
        <v>6695.1630000000005</v>
      </c>
      <c r="I13" s="315">
        <f t="shared" si="0"/>
        <v>8354.1749999999993</v>
      </c>
      <c r="J13" s="416">
        <f>SUM(J5:J12)</f>
        <v>3139</v>
      </c>
    </row>
  </sheetData>
  <sortState xmlns:xlrd2="http://schemas.microsoft.com/office/spreadsheetml/2017/richdata2" ref="B23:K30">
    <sortCondition ref="B23:B30"/>
  </sortState>
  <mergeCells count="5">
    <mergeCell ref="C3:C4"/>
    <mergeCell ref="D3:D4"/>
    <mergeCell ref="E3:E4"/>
    <mergeCell ref="F3:J3"/>
    <mergeCell ref="B3:B4"/>
  </mergeCells>
  <pageMargins left="0.7" right="0.7" top="0.75" bottom="0.75" header="0.3" footer="0.3"/>
  <pageSetup paperSize="9" scale="94" orientation="landscape" verticalDpi="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tabColor theme="0" tint="-4.9989318521683403E-2"/>
  </sheetPr>
  <dimension ref="A1:HQ48"/>
  <sheetViews>
    <sheetView showGridLines="0" zoomScaleNormal="100" workbookViewId="0">
      <selection activeCell="A2" sqref="A2"/>
    </sheetView>
  </sheetViews>
  <sheetFormatPr defaultColWidth="9.109375" defaultRowHeight="12" x14ac:dyDescent="0.25"/>
  <cols>
    <col min="1" max="1" width="53.33203125" style="3" bestFit="1" customWidth="1"/>
    <col min="2" max="2" width="7.5546875" style="3" customWidth="1"/>
    <col min="3" max="3" width="4.88671875" style="3" customWidth="1"/>
    <col min="4" max="4" width="7.5546875" style="3" customWidth="1"/>
    <col min="5" max="5" width="4.88671875" style="3" customWidth="1"/>
    <col min="6" max="6" width="7.5546875" style="3" customWidth="1"/>
    <col min="7" max="7" width="4.88671875" style="3" customWidth="1"/>
    <col min="8" max="8" width="10.77734375" style="3" customWidth="1"/>
    <col min="9" max="9" width="9.109375" style="3" customWidth="1"/>
    <col min="10" max="16384" width="9.109375" style="3"/>
  </cols>
  <sheetData>
    <row r="1" spans="1:225" ht="14.4" x14ac:dyDescent="0.3"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1:225" ht="15" thickBot="1" x14ac:dyDescent="0.35">
      <c r="A2" s="46" t="s">
        <v>477</v>
      </c>
      <c r="B2" s="46"/>
      <c r="C2" s="46"/>
      <c r="D2" s="46"/>
      <c r="E2" s="46"/>
      <c r="F2" s="46"/>
      <c r="G2" s="46"/>
      <c r="H2" s="49" t="s">
        <v>478</v>
      </c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</row>
    <row r="3" spans="1:225" ht="31.2" customHeight="1" x14ac:dyDescent="0.3">
      <c r="A3" s="467"/>
      <c r="B3" s="468" t="s">
        <v>522</v>
      </c>
      <c r="C3" s="493" t="s">
        <v>3</v>
      </c>
      <c r="D3" s="468" t="s">
        <v>551</v>
      </c>
      <c r="E3" s="493" t="s">
        <v>3</v>
      </c>
      <c r="F3" s="468" t="s">
        <v>559</v>
      </c>
      <c r="G3" s="493" t="s">
        <v>3</v>
      </c>
      <c r="H3" s="633" t="str">
        <f>IF(LEN(F3)&gt;5,"Индекс " &amp; MID(F3,1,2) &amp; "-" &amp; MID(F3,4,5) &amp; "/" &amp; IF(LEN(D3)&gt;5,MID(D3,1,2) &amp; "-" &amp; MID(D3,4,5),D3),"Индекс " &amp; F3 &amp; "/" &amp; IF(LEN(D3)&gt;5,MID(D3,1,2) &amp; "-" &amp; MID(D3,4,5),D3))</f>
        <v>Индекс 2024./2023.</v>
      </c>
      <c r="J3" s="469"/>
      <c r="K3" s="469"/>
      <c r="L3" s="469"/>
      <c r="M3" s="469"/>
      <c r="N3" s="469"/>
      <c r="O3" s="469"/>
      <c r="P3" s="469"/>
      <c r="Q3" s="469"/>
      <c r="R3" s="469"/>
      <c r="S3" s="469"/>
      <c r="T3" s="469"/>
      <c r="U3" s="469"/>
      <c r="V3" s="469"/>
      <c r="W3" s="469"/>
      <c r="X3" s="469"/>
      <c r="Y3" s="469"/>
      <c r="Z3" s="469"/>
      <c r="AA3" s="469"/>
      <c r="AB3" s="469"/>
      <c r="AC3" s="469"/>
      <c r="AD3" s="469"/>
      <c r="AE3" s="469"/>
      <c r="AF3" s="469"/>
      <c r="AG3" s="469"/>
      <c r="AH3" s="469"/>
      <c r="AI3" s="469"/>
      <c r="AJ3" s="469"/>
      <c r="AK3" s="469"/>
      <c r="AL3" s="469"/>
      <c r="AM3" s="469"/>
      <c r="AN3" s="469"/>
      <c r="AO3" s="469"/>
      <c r="AP3" s="469"/>
      <c r="AQ3" s="469"/>
      <c r="AR3" s="469"/>
      <c r="AS3" s="469"/>
      <c r="AT3" s="469"/>
      <c r="AU3" s="469"/>
      <c r="AV3" s="469"/>
      <c r="AW3" s="469"/>
      <c r="AX3" s="469"/>
      <c r="AY3" s="469"/>
      <c r="AZ3" s="469"/>
      <c r="BA3" s="469"/>
      <c r="BB3" s="469"/>
      <c r="BC3" s="469"/>
      <c r="BD3" s="469"/>
      <c r="BE3" s="469"/>
      <c r="BF3" s="469"/>
      <c r="BG3" s="469"/>
      <c r="BH3" s="469"/>
      <c r="BI3" s="469"/>
      <c r="BJ3" s="469"/>
      <c r="BK3" s="469"/>
      <c r="BL3" s="469"/>
      <c r="BM3" s="469"/>
      <c r="BN3" s="469"/>
      <c r="BO3" s="469"/>
      <c r="BP3" s="469"/>
      <c r="BQ3" s="469"/>
      <c r="BR3" s="469"/>
      <c r="BS3" s="469"/>
      <c r="BT3" s="469"/>
      <c r="BU3" s="469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 s="469"/>
      <c r="FS3" s="469"/>
      <c r="FT3" s="469"/>
      <c r="FU3" s="469"/>
      <c r="FV3" s="469"/>
      <c r="FW3" s="469"/>
      <c r="FX3" s="469"/>
      <c r="FY3" s="469"/>
      <c r="FZ3" s="469"/>
      <c r="GA3" s="469"/>
      <c r="GB3" s="469"/>
      <c r="GC3" s="469"/>
      <c r="GD3" s="469"/>
      <c r="GE3" s="469"/>
      <c r="GF3" s="469"/>
      <c r="GG3" s="469"/>
      <c r="GH3" s="469"/>
      <c r="GI3" s="469"/>
      <c r="GJ3" s="469"/>
      <c r="GK3" s="469"/>
      <c r="GL3" s="469"/>
      <c r="GM3" s="469"/>
      <c r="GN3" s="469"/>
      <c r="GO3" s="469"/>
      <c r="GP3" s="469"/>
      <c r="GQ3" s="469"/>
      <c r="GR3" s="469"/>
      <c r="GS3" s="469"/>
      <c r="GT3" s="469"/>
      <c r="GU3" s="469"/>
      <c r="GV3" s="469"/>
      <c r="GW3" s="469"/>
      <c r="GX3" s="469"/>
      <c r="GY3" s="469"/>
      <c r="GZ3" s="469"/>
      <c r="HA3" s="469"/>
      <c r="HB3" s="469"/>
      <c r="HC3" s="469"/>
      <c r="HD3" s="469"/>
      <c r="HE3" s="469"/>
      <c r="HF3" s="469"/>
      <c r="HG3" s="469"/>
      <c r="HH3" s="469"/>
      <c r="HI3" s="469"/>
      <c r="HJ3" s="469"/>
      <c r="HK3" s="469"/>
      <c r="HL3" s="469"/>
      <c r="HM3" s="469"/>
      <c r="HN3" s="469"/>
      <c r="HO3" s="469"/>
      <c r="HP3" s="469"/>
      <c r="HQ3" s="469"/>
    </row>
    <row r="4" spans="1:225" ht="14.4" x14ac:dyDescent="0.3">
      <c r="A4" s="474" t="s">
        <v>437</v>
      </c>
      <c r="B4" s="478"/>
      <c r="C4" s="494"/>
      <c r="D4" s="478"/>
      <c r="E4" s="494"/>
      <c r="F4" s="478"/>
      <c r="G4" s="494"/>
      <c r="H4" s="479"/>
      <c r="I4" s="469"/>
      <c r="J4" s="469"/>
      <c r="K4" s="469"/>
      <c r="L4" s="469"/>
      <c r="M4" s="469"/>
      <c r="N4" s="469"/>
      <c r="O4" s="469"/>
      <c r="P4" s="469"/>
      <c r="Q4" s="469"/>
      <c r="R4" s="469"/>
      <c r="S4" s="469"/>
      <c r="T4" s="469"/>
      <c r="U4" s="469"/>
      <c r="V4" s="469"/>
      <c r="W4" s="469"/>
      <c r="X4" s="469"/>
      <c r="Y4" s="469"/>
      <c r="Z4" s="469"/>
      <c r="AA4" s="469"/>
      <c r="AB4" s="469"/>
      <c r="AC4" s="469"/>
      <c r="AD4" s="469"/>
      <c r="AE4" s="469"/>
      <c r="AF4" s="469"/>
      <c r="AG4" s="469"/>
      <c r="AH4" s="469"/>
      <c r="AI4" s="469"/>
      <c r="AJ4" s="469"/>
      <c r="AK4" s="469"/>
      <c r="AL4" s="469"/>
      <c r="AM4" s="469"/>
      <c r="AN4" s="469"/>
      <c r="AO4" s="469"/>
      <c r="AP4" s="469"/>
      <c r="AQ4" s="469"/>
      <c r="AR4" s="469"/>
      <c r="AS4" s="469"/>
      <c r="AT4" s="469"/>
      <c r="AU4" s="469"/>
      <c r="AV4" s="469"/>
      <c r="AW4" s="469"/>
      <c r="AX4" s="469"/>
      <c r="AY4" s="469"/>
      <c r="AZ4" s="469"/>
      <c r="BA4" s="469"/>
      <c r="BB4" s="469"/>
      <c r="BC4" s="469"/>
      <c r="BD4" s="469"/>
      <c r="BE4" s="469"/>
      <c r="BF4" s="469"/>
      <c r="BG4" s="469"/>
      <c r="BH4" s="469"/>
      <c r="BI4" s="469"/>
      <c r="BJ4" s="469"/>
      <c r="BK4" s="469"/>
      <c r="BL4" s="469"/>
      <c r="BM4" s="469"/>
      <c r="BN4" s="469"/>
      <c r="BO4" s="469"/>
      <c r="BP4" s="469"/>
      <c r="BQ4" s="469"/>
      <c r="BR4" s="469"/>
      <c r="BS4" s="469"/>
      <c r="BT4" s="469"/>
      <c r="BU4" s="469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 s="469"/>
      <c r="FS4" s="469"/>
      <c r="FT4" s="469"/>
      <c r="FU4" s="469"/>
      <c r="FV4" s="469"/>
      <c r="FW4" s="469"/>
      <c r="FX4" s="469"/>
      <c r="FY4" s="469"/>
      <c r="FZ4" s="469"/>
      <c r="GA4" s="469"/>
      <c r="GB4" s="469"/>
      <c r="GC4" s="469"/>
      <c r="GD4" s="469"/>
      <c r="GE4" s="469"/>
      <c r="GF4" s="469"/>
      <c r="GG4" s="469"/>
      <c r="GH4" s="469"/>
      <c r="GI4" s="469"/>
      <c r="GJ4" s="469"/>
      <c r="GK4" s="469"/>
      <c r="GL4" s="469"/>
      <c r="GM4" s="469"/>
      <c r="GN4" s="469"/>
      <c r="GO4" s="469"/>
      <c r="GP4" s="469"/>
      <c r="GQ4" s="469"/>
      <c r="GR4" s="469"/>
      <c r="GS4" s="469"/>
      <c r="GT4" s="469"/>
      <c r="GU4" s="469"/>
      <c r="GV4" s="469"/>
      <c r="GW4" s="469"/>
      <c r="GX4" s="469"/>
      <c r="GY4" s="469"/>
      <c r="GZ4" s="469"/>
      <c r="HA4" s="469"/>
      <c r="HB4" s="469"/>
      <c r="HC4" s="469"/>
      <c r="HD4" s="469"/>
      <c r="HE4" s="469"/>
      <c r="HF4" s="469"/>
      <c r="HG4" s="469"/>
      <c r="HH4" s="469"/>
      <c r="HI4" s="469"/>
      <c r="HJ4" s="469"/>
      <c r="HK4" s="469"/>
      <c r="HL4" s="469"/>
      <c r="HM4" s="469"/>
      <c r="HN4" s="469"/>
      <c r="HO4" s="469"/>
      <c r="HP4" s="469"/>
      <c r="HQ4" s="469"/>
    </row>
    <row r="5" spans="1:225" ht="14.4" x14ac:dyDescent="0.3">
      <c r="A5" s="155" t="s">
        <v>100</v>
      </c>
      <c r="B5" s="470"/>
      <c r="C5" s="495"/>
      <c r="D5" s="470"/>
      <c r="E5" s="495"/>
      <c r="F5" s="470"/>
      <c r="G5" s="495"/>
      <c r="H5" s="471"/>
      <c r="I5" s="469"/>
      <c r="J5" s="469"/>
      <c r="K5" s="469"/>
      <c r="L5" s="469"/>
      <c r="M5" s="469"/>
      <c r="N5" s="469"/>
      <c r="O5" s="469"/>
      <c r="P5" s="469"/>
      <c r="Q5" s="469"/>
      <c r="R5" s="469"/>
      <c r="S5" s="469"/>
      <c r="T5" s="469"/>
      <c r="U5" s="469"/>
      <c r="V5" s="469"/>
      <c r="W5" s="469"/>
      <c r="X5" s="469"/>
      <c r="Y5" s="469"/>
      <c r="Z5" s="469"/>
      <c r="AA5" s="469"/>
      <c r="AB5" s="469"/>
      <c r="AC5" s="469"/>
      <c r="AD5" s="469"/>
      <c r="AE5" s="469"/>
      <c r="AF5" s="469"/>
      <c r="AG5" s="469"/>
      <c r="AH5" s="469"/>
      <c r="AI5" s="469"/>
      <c r="AJ5" s="469"/>
      <c r="AK5" s="469"/>
      <c r="AL5" s="469"/>
      <c r="AM5" s="469"/>
      <c r="AN5" s="469"/>
      <c r="AO5" s="469"/>
      <c r="AP5" s="469"/>
      <c r="AQ5" s="469"/>
      <c r="AR5" s="469"/>
      <c r="AS5" s="469"/>
      <c r="AT5" s="469"/>
      <c r="AU5" s="469"/>
      <c r="AV5" s="469"/>
      <c r="AW5" s="469"/>
      <c r="AX5" s="469"/>
      <c r="AY5" s="469"/>
      <c r="AZ5" s="469"/>
      <c r="BA5" s="469"/>
      <c r="BB5" s="469"/>
      <c r="BC5" s="469"/>
      <c r="BD5" s="469"/>
      <c r="BE5" s="469"/>
      <c r="BF5" s="469"/>
      <c r="BG5" s="469"/>
      <c r="BH5" s="469"/>
      <c r="BI5" s="469"/>
      <c r="BJ5" s="469"/>
      <c r="BK5" s="469"/>
      <c r="BL5" s="469"/>
      <c r="BM5" s="469"/>
      <c r="BN5" s="469"/>
      <c r="BO5" s="469"/>
      <c r="BP5" s="469"/>
      <c r="BQ5" s="469"/>
      <c r="BR5" s="469"/>
      <c r="BS5" s="469"/>
      <c r="BT5" s="469"/>
      <c r="BU5" s="469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 s="469"/>
      <c r="FS5" s="469"/>
      <c r="FT5" s="469"/>
      <c r="FU5" s="469"/>
      <c r="FV5" s="469"/>
      <c r="FW5" s="469"/>
      <c r="FX5" s="469"/>
      <c r="FY5" s="469"/>
      <c r="FZ5" s="469"/>
      <c r="GA5" s="469"/>
      <c r="GB5" s="469"/>
      <c r="GC5" s="469"/>
      <c r="GD5" s="469"/>
      <c r="GE5" s="469"/>
      <c r="GF5" s="469"/>
      <c r="GG5" s="469"/>
      <c r="GH5" s="469"/>
      <c r="GI5" s="469"/>
      <c r="GJ5" s="469"/>
      <c r="GK5" s="469"/>
      <c r="GL5" s="469"/>
      <c r="GM5" s="469"/>
      <c r="GN5" s="469"/>
      <c r="GO5" s="469"/>
      <c r="GP5" s="469"/>
      <c r="GQ5" s="469"/>
      <c r="GR5" s="469"/>
      <c r="GS5" s="469"/>
      <c r="GT5" s="469"/>
      <c r="GU5" s="469"/>
      <c r="GV5" s="469"/>
      <c r="GW5" s="469"/>
      <c r="GX5" s="469"/>
      <c r="GY5" s="469"/>
      <c r="GZ5" s="469"/>
      <c r="HA5" s="469"/>
      <c r="HB5" s="469"/>
      <c r="HC5" s="469"/>
      <c r="HD5" s="469"/>
      <c r="HE5" s="469"/>
      <c r="HF5" s="469"/>
      <c r="HG5" s="469"/>
      <c r="HH5" s="469"/>
      <c r="HI5" s="469"/>
      <c r="HJ5" s="469"/>
      <c r="HK5" s="469"/>
      <c r="HL5" s="469"/>
      <c r="HM5" s="469"/>
      <c r="HN5" s="469"/>
      <c r="HO5" s="469"/>
      <c r="HP5" s="469"/>
      <c r="HQ5" s="469"/>
    </row>
    <row r="6" spans="1:225" ht="14.4" x14ac:dyDescent="0.3">
      <c r="A6" s="155" t="s">
        <v>206</v>
      </c>
      <c r="B6" s="472">
        <v>1.1359999999999999</v>
      </c>
      <c r="C6" s="496">
        <f>IF(B$13&lt;&gt;0,B6*100/B$13,"-")</f>
        <v>0.34470621078056535</v>
      </c>
      <c r="D6" s="472">
        <v>14.688000000000001</v>
      </c>
      <c r="E6" s="496">
        <f>IF(D$13&lt;&gt;0,D6*100/D$13,"-")</f>
        <v>3.5874264220990151</v>
      </c>
      <c r="F6" s="472">
        <v>27.425999999999998</v>
      </c>
      <c r="G6" s="496">
        <f>IF(F$13&lt;&gt;0,F6*100/F$13,"-")</f>
        <v>5.8595427479986419</v>
      </c>
      <c r="H6" s="471">
        <f>IF(D6&lt;&gt;0,F6*100/D6,"-")</f>
        <v>186.72385620915031</v>
      </c>
      <c r="I6" s="469"/>
      <c r="J6" s="469"/>
      <c r="K6" s="469"/>
      <c r="L6" s="469"/>
      <c r="M6" s="469"/>
      <c r="N6" s="469"/>
      <c r="O6" s="469"/>
      <c r="P6" s="469"/>
      <c r="Q6" s="469"/>
      <c r="R6" s="469"/>
      <c r="S6" s="469"/>
      <c r="T6" s="469"/>
      <c r="U6" s="469"/>
      <c r="V6" s="469"/>
      <c r="W6" s="469"/>
      <c r="X6" s="469"/>
      <c r="Y6" s="469"/>
      <c r="Z6" s="469"/>
      <c r="AA6" s="469"/>
      <c r="AB6" s="469"/>
      <c r="AC6" s="469"/>
      <c r="AD6" s="469"/>
      <c r="AE6" s="469"/>
      <c r="AF6" s="469"/>
      <c r="AG6" s="469"/>
      <c r="AH6" s="469"/>
      <c r="AI6" s="469"/>
      <c r="AJ6" s="469"/>
      <c r="AK6" s="469"/>
      <c r="AL6" s="469"/>
      <c r="AM6" s="469"/>
      <c r="AN6" s="469"/>
      <c r="AO6" s="469"/>
      <c r="AP6" s="469"/>
      <c r="AQ6" s="469"/>
      <c r="AR6" s="469"/>
      <c r="AS6" s="469"/>
      <c r="AT6" s="469"/>
      <c r="AU6" s="469"/>
      <c r="AV6" s="469"/>
      <c r="AW6" s="469"/>
      <c r="AX6" s="469"/>
      <c r="AY6" s="469"/>
      <c r="AZ6" s="469"/>
      <c r="BA6" s="469"/>
      <c r="BB6" s="469"/>
      <c r="BC6" s="469"/>
      <c r="BD6" s="469"/>
      <c r="BE6" s="469"/>
      <c r="BF6" s="469"/>
      <c r="BG6" s="469"/>
      <c r="BH6" s="469"/>
      <c r="BI6" s="469"/>
      <c r="BJ6" s="469"/>
      <c r="BK6" s="469"/>
      <c r="BL6" s="469"/>
      <c r="BM6" s="469"/>
      <c r="BN6" s="469"/>
      <c r="BO6" s="469"/>
      <c r="BP6" s="469"/>
      <c r="BQ6" s="469"/>
      <c r="BR6" s="469"/>
      <c r="BS6" s="469"/>
      <c r="BT6" s="469"/>
      <c r="BU6" s="469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 s="469"/>
      <c r="FS6" s="469"/>
      <c r="FT6" s="469"/>
      <c r="FU6" s="469"/>
      <c r="FV6" s="469"/>
      <c r="FW6" s="469"/>
      <c r="FX6" s="469"/>
      <c r="FY6" s="469"/>
      <c r="FZ6" s="469"/>
      <c r="GA6" s="469"/>
      <c r="GB6" s="469"/>
      <c r="GC6" s="469"/>
      <c r="GD6" s="469"/>
      <c r="GE6" s="469"/>
      <c r="GF6" s="469"/>
      <c r="GG6" s="469"/>
      <c r="GH6" s="469"/>
      <c r="GI6" s="469"/>
      <c r="GJ6" s="469"/>
      <c r="GK6" s="469"/>
      <c r="GL6" s="469"/>
      <c r="GM6" s="469"/>
      <c r="GN6" s="469"/>
      <c r="GO6" s="469"/>
      <c r="GP6" s="469"/>
      <c r="GQ6" s="469"/>
      <c r="GR6" s="469"/>
      <c r="GS6" s="469"/>
      <c r="GT6" s="469"/>
      <c r="GU6" s="469"/>
      <c r="GV6" s="469"/>
      <c r="GW6" s="469"/>
      <c r="GX6" s="469"/>
      <c r="GY6" s="469"/>
      <c r="GZ6" s="469"/>
      <c r="HA6" s="469"/>
      <c r="HB6" s="469"/>
      <c r="HC6" s="469"/>
      <c r="HD6" s="469"/>
      <c r="HE6" s="469"/>
      <c r="HF6" s="469"/>
      <c r="HG6" s="469"/>
      <c r="HH6" s="469"/>
      <c r="HI6" s="469"/>
      <c r="HJ6" s="469"/>
      <c r="HK6" s="469"/>
      <c r="HL6" s="469"/>
      <c r="HM6" s="469"/>
      <c r="HN6" s="469"/>
      <c r="HO6" s="469"/>
      <c r="HP6" s="469"/>
      <c r="HQ6" s="469"/>
    </row>
    <row r="7" spans="1:225" ht="14.4" x14ac:dyDescent="0.3">
      <c r="A7" s="155" t="s">
        <v>438</v>
      </c>
      <c r="B7" s="472">
        <v>0.253</v>
      </c>
      <c r="C7" s="496">
        <f t="shared" ref="C7:E12" si="0">IF(B$13&lt;&gt;0,B7*100/B$13,"-")</f>
        <v>7.6769957154474516E-2</v>
      </c>
      <c r="D7" s="472">
        <v>3.2269999999999999</v>
      </c>
      <c r="E7" s="496">
        <f t="shared" si="0"/>
        <v>0.78816891776372011</v>
      </c>
      <c r="F7" s="472">
        <v>6.2119999999999997</v>
      </c>
      <c r="G7" s="496">
        <f t="shared" ref="G7" si="1">IF(F$13&lt;&gt;0,F7*100/F$13,"-")</f>
        <v>1.3271887825628075</v>
      </c>
      <c r="H7" s="471">
        <f t="shared" ref="H7:H48" si="2">IF(D7&lt;&gt;0,F7*100/D7,"-")</f>
        <v>192.50077471335604</v>
      </c>
      <c r="I7" s="469"/>
      <c r="J7" s="469"/>
      <c r="K7" s="469"/>
      <c r="L7" s="469"/>
      <c r="M7" s="469"/>
      <c r="N7" s="469"/>
      <c r="O7" s="469"/>
      <c r="P7" s="469"/>
      <c r="Q7" s="469"/>
      <c r="R7" s="469"/>
      <c r="S7" s="469"/>
      <c r="T7" s="469"/>
      <c r="U7" s="469"/>
      <c r="V7" s="469"/>
      <c r="W7" s="469"/>
      <c r="X7" s="469"/>
      <c r="Y7" s="469"/>
      <c r="Z7" s="469"/>
      <c r="AA7" s="469"/>
      <c r="AB7" s="469"/>
      <c r="AC7" s="469"/>
      <c r="AD7" s="469"/>
      <c r="AE7" s="469"/>
      <c r="AF7" s="469"/>
      <c r="AG7" s="469"/>
      <c r="AH7" s="469"/>
      <c r="AI7" s="469"/>
      <c r="AJ7" s="469"/>
      <c r="AK7" s="469"/>
      <c r="AL7" s="469"/>
      <c r="AM7" s="469"/>
      <c r="AN7" s="469"/>
      <c r="AO7" s="469"/>
      <c r="AP7" s="469"/>
      <c r="AQ7" s="469"/>
      <c r="AR7" s="469"/>
      <c r="AS7" s="469"/>
      <c r="AT7" s="469"/>
      <c r="AU7" s="469"/>
      <c r="AV7" s="469"/>
      <c r="AW7" s="469"/>
      <c r="AX7" s="469"/>
      <c r="AY7" s="469"/>
      <c r="AZ7" s="469"/>
      <c r="BA7" s="469"/>
      <c r="BB7" s="469"/>
      <c r="BC7" s="469"/>
      <c r="BD7" s="469"/>
      <c r="BE7" s="469"/>
      <c r="BF7" s="469"/>
      <c r="BG7" s="469"/>
      <c r="BH7" s="469"/>
      <c r="BI7" s="469"/>
      <c r="BJ7" s="469"/>
      <c r="BK7" s="469"/>
      <c r="BL7" s="469"/>
      <c r="BM7" s="469"/>
      <c r="BN7" s="469"/>
      <c r="BO7" s="469"/>
      <c r="BP7" s="469"/>
      <c r="BQ7" s="469"/>
      <c r="BR7" s="469"/>
      <c r="BS7" s="469"/>
      <c r="BT7" s="469"/>
      <c r="BU7" s="469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 s="469"/>
      <c r="FS7" s="469"/>
      <c r="FT7" s="469"/>
      <c r="FU7" s="469"/>
      <c r="FV7" s="469"/>
      <c r="FW7" s="469"/>
      <c r="FX7" s="469"/>
      <c r="FY7" s="469"/>
      <c r="FZ7" s="469"/>
      <c r="GA7" s="469"/>
      <c r="GB7" s="469"/>
      <c r="GC7" s="469"/>
      <c r="GD7" s="469"/>
      <c r="GE7" s="469"/>
      <c r="GF7" s="469"/>
      <c r="GG7" s="469"/>
      <c r="GH7" s="469"/>
      <c r="GI7" s="469"/>
      <c r="GJ7" s="469"/>
      <c r="GK7" s="469"/>
      <c r="GL7" s="469"/>
      <c r="GM7" s="469"/>
      <c r="GN7" s="469"/>
      <c r="GO7" s="469"/>
      <c r="GP7" s="469"/>
      <c r="GQ7" s="469"/>
      <c r="GR7" s="469"/>
      <c r="GS7" s="469"/>
      <c r="GT7" s="469"/>
      <c r="GU7" s="469"/>
      <c r="GV7" s="469"/>
      <c r="GW7" s="469"/>
      <c r="GX7" s="469"/>
      <c r="GY7" s="469"/>
      <c r="GZ7" s="469"/>
      <c r="HA7" s="469"/>
      <c r="HB7" s="469"/>
      <c r="HC7" s="469"/>
      <c r="HD7" s="469"/>
      <c r="HE7" s="469"/>
      <c r="HF7" s="469"/>
      <c r="HG7" s="469"/>
      <c r="HH7" s="469"/>
      <c r="HI7" s="469"/>
      <c r="HJ7" s="469"/>
      <c r="HK7" s="469"/>
      <c r="HL7" s="469"/>
      <c r="HM7" s="469"/>
      <c r="HN7" s="469"/>
      <c r="HO7" s="469"/>
      <c r="HP7" s="469"/>
      <c r="HQ7" s="469"/>
    </row>
    <row r="8" spans="1:225" ht="14.4" x14ac:dyDescent="0.3">
      <c r="A8" s="155" t="s">
        <v>439</v>
      </c>
      <c r="B8" s="472">
        <v>274.98899999999998</v>
      </c>
      <c r="C8" s="496">
        <f t="shared" si="0"/>
        <v>83.442267778465563</v>
      </c>
      <c r="D8" s="472">
        <v>324.04700000000003</v>
      </c>
      <c r="E8" s="496">
        <f t="shared" si="0"/>
        <v>79.145885743594746</v>
      </c>
      <c r="F8" s="472">
        <v>357.87700000000001</v>
      </c>
      <c r="G8" s="496">
        <f t="shared" ref="G8" si="3">IF(F$13&lt;&gt;0,F8*100/F$13,"-")</f>
        <v>76.46013199247102</v>
      </c>
      <c r="H8" s="471">
        <f t="shared" si="2"/>
        <v>110.43984360293415</v>
      </c>
      <c r="I8" s="469"/>
      <c r="J8" s="469"/>
      <c r="K8" s="469"/>
      <c r="L8" s="469"/>
      <c r="M8" s="469"/>
      <c r="N8" s="469"/>
      <c r="O8" s="469"/>
      <c r="P8" s="469"/>
      <c r="Q8" s="469"/>
      <c r="R8" s="469"/>
      <c r="S8" s="469"/>
      <c r="T8" s="469"/>
      <c r="U8" s="469"/>
      <c r="V8" s="469"/>
      <c r="W8" s="469"/>
      <c r="X8" s="469"/>
      <c r="Y8" s="469"/>
      <c r="Z8" s="469"/>
      <c r="AA8" s="469"/>
      <c r="AB8" s="469"/>
      <c r="AC8" s="469"/>
      <c r="AD8" s="469"/>
      <c r="AE8" s="469"/>
      <c r="AF8" s="469"/>
      <c r="AG8" s="469"/>
      <c r="AH8" s="469"/>
      <c r="AI8" s="469"/>
      <c r="AJ8" s="469"/>
      <c r="AK8" s="469"/>
      <c r="AL8" s="469"/>
      <c r="AM8" s="469"/>
      <c r="AN8" s="469"/>
      <c r="AO8" s="469"/>
      <c r="AP8" s="469"/>
      <c r="AQ8" s="469"/>
      <c r="AR8" s="469"/>
      <c r="AS8" s="469"/>
      <c r="AT8" s="469"/>
      <c r="AU8" s="469"/>
      <c r="AV8" s="469"/>
      <c r="AW8" s="469"/>
      <c r="AX8" s="469"/>
      <c r="AY8" s="469"/>
      <c r="AZ8" s="469"/>
      <c r="BA8" s="469"/>
      <c r="BB8" s="469"/>
      <c r="BC8" s="469"/>
      <c r="BD8" s="469"/>
      <c r="BE8" s="469"/>
      <c r="BF8" s="469"/>
      <c r="BG8" s="469"/>
      <c r="BH8" s="469"/>
      <c r="BI8" s="469"/>
      <c r="BJ8" s="469"/>
      <c r="BK8" s="469"/>
      <c r="BL8" s="469"/>
      <c r="BM8" s="469"/>
      <c r="BN8" s="469"/>
      <c r="BO8" s="469"/>
      <c r="BP8" s="469"/>
      <c r="BQ8" s="469"/>
      <c r="BR8" s="469"/>
      <c r="BS8" s="469"/>
      <c r="BT8" s="469"/>
      <c r="BU8" s="469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 s="469"/>
      <c r="FS8" s="469"/>
      <c r="FT8" s="469"/>
      <c r="FU8" s="469"/>
      <c r="FV8" s="469"/>
      <c r="FW8" s="469"/>
      <c r="FX8" s="469"/>
      <c r="FY8" s="469"/>
      <c r="FZ8" s="469"/>
      <c r="GA8" s="469"/>
      <c r="GB8" s="469"/>
      <c r="GC8" s="469"/>
      <c r="GD8" s="469"/>
      <c r="GE8" s="469"/>
      <c r="GF8" s="469"/>
      <c r="GG8" s="469"/>
      <c r="GH8" s="469"/>
      <c r="GI8" s="469"/>
      <c r="GJ8" s="469"/>
      <c r="GK8" s="469"/>
      <c r="GL8" s="469"/>
      <c r="GM8" s="469"/>
      <c r="GN8" s="469"/>
      <c r="GO8" s="469"/>
      <c r="GP8" s="469"/>
      <c r="GQ8" s="469"/>
      <c r="GR8" s="469"/>
      <c r="GS8" s="469"/>
      <c r="GT8" s="469"/>
      <c r="GU8" s="469"/>
      <c r="GV8" s="469"/>
      <c r="GW8" s="469"/>
      <c r="GX8" s="469"/>
      <c r="GY8" s="469"/>
      <c r="GZ8" s="469"/>
      <c r="HA8" s="469"/>
      <c r="HB8" s="469"/>
      <c r="HC8" s="469"/>
      <c r="HD8" s="469"/>
      <c r="HE8" s="469"/>
      <c r="HF8" s="469"/>
      <c r="HG8" s="469"/>
      <c r="HH8" s="469"/>
      <c r="HI8" s="469"/>
      <c r="HJ8" s="469"/>
      <c r="HK8" s="469"/>
      <c r="HL8" s="469"/>
      <c r="HM8" s="469"/>
      <c r="HN8" s="469"/>
      <c r="HO8" s="469"/>
      <c r="HP8" s="469"/>
      <c r="HQ8" s="469"/>
    </row>
    <row r="9" spans="1:225" ht="14.4" x14ac:dyDescent="0.3">
      <c r="A9" s="155" t="s">
        <v>440</v>
      </c>
      <c r="B9" s="472">
        <v>24.952999999999999</v>
      </c>
      <c r="C9" s="496">
        <f t="shared" si="0"/>
        <v>7.5717025331051468</v>
      </c>
      <c r="D9" s="472">
        <v>36.771000000000001</v>
      </c>
      <c r="E9" s="496">
        <f t="shared" si="0"/>
        <v>8.9810223969909373</v>
      </c>
      <c r="F9" s="472">
        <v>45.872999999999998</v>
      </c>
      <c r="G9" s="496">
        <f t="shared" ref="G9" si="4">IF(F$13&lt;&gt;0,F9*100/F$13,"-")</f>
        <v>9.8007293983425114</v>
      </c>
      <c r="H9" s="471">
        <f t="shared" si="2"/>
        <v>124.7532022517745</v>
      </c>
      <c r="I9" s="469"/>
      <c r="J9" s="469"/>
      <c r="K9" s="469"/>
      <c r="L9" s="469"/>
      <c r="M9" s="469"/>
      <c r="N9" s="469"/>
      <c r="O9" s="469"/>
      <c r="P9" s="469"/>
      <c r="Q9" s="469"/>
      <c r="R9" s="469"/>
      <c r="S9" s="469"/>
      <c r="T9" s="469"/>
      <c r="U9" s="469"/>
      <c r="V9" s="469"/>
      <c r="W9" s="469"/>
      <c r="X9" s="469"/>
      <c r="Y9" s="469"/>
      <c r="Z9" s="469"/>
      <c r="AA9" s="469"/>
      <c r="AB9" s="469"/>
      <c r="AC9" s="469"/>
      <c r="AD9" s="469"/>
      <c r="AE9" s="469"/>
      <c r="AF9" s="469"/>
      <c r="AG9" s="469"/>
      <c r="AH9" s="469"/>
      <c r="AI9" s="469"/>
      <c r="AJ9" s="469"/>
      <c r="AK9" s="469"/>
      <c r="AL9" s="469"/>
      <c r="AM9" s="469"/>
      <c r="AN9" s="469"/>
      <c r="AO9" s="469"/>
      <c r="AP9" s="469"/>
      <c r="AQ9" s="469"/>
      <c r="AR9" s="469"/>
      <c r="AS9" s="469"/>
      <c r="AT9" s="469"/>
      <c r="AU9" s="469"/>
      <c r="AV9" s="469"/>
      <c r="AW9" s="469"/>
      <c r="AX9" s="469"/>
      <c r="AY9" s="469"/>
      <c r="AZ9" s="469"/>
      <c r="BA9" s="469"/>
      <c r="BB9" s="469"/>
      <c r="BC9" s="469"/>
      <c r="BD9" s="469"/>
      <c r="BE9" s="469"/>
      <c r="BF9" s="469"/>
      <c r="BG9" s="469"/>
      <c r="BH9" s="469"/>
      <c r="BI9" s="469"/>
      <c r="BJ9" s="469"/>
      <c r="BK9" s="469"/>
      <c r="BL9" s="469"/>
      <c r="BM9" s="469"/>
      <c r="BN9" s="469"/>
      <c r="BO9" s="469"/>
      <c r="BP9" s="469"/>
      <c r="BQ9" s="469"/>
      <c r="BR9" s="469"/>
      <c r="BS9" s="469"/>
      <c r="BT9" s="469"/>
      <c r="BU9" s="46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 s="469"/>
      <c r="FS9" s="469"/>
      <c r="FT9" s="469"/>
      <c r="FU9" s="469"/>
      <c r="FV9" s="469"/>
      <c r="FW9" s="469"/>
      <c r="FX9" s="469"/>
      <c r="FY9" s="469"/>
      <c r="FZ9" s="469"/>
      <c r="GA9" s="469"/>
      <c r="GB9" s="469"/>
      <c r="GC9" s="469"/>
      <c r="GD9" s="469"/>
      <c r="GE9" s="469"/>
      <c r="GF9" s="469"/>
      <c r="GG9" s="469"/>
      <c r="GH9" s="469"/>
      <c r="GI9" s="469"/>
      <c r="GJ9" s="469"/>
      <c r="GK9" s="469"/>
      <c r="GL9" s="469"/>
      <c r="GM9" s="469"/>
      <c r="GN9" s="469"/>
      <c r="GO9" s="469"/>
      <c r="GP9" s="469"/>
      <c r="GQ9" s="469"/>
      <c r="GR9" s="469"/>
      <c r="GS9" s="469"/>
      <c r="GT9" s="469"/>
      <c r="GU9" s="469"/>
      <c r="GV9" s="469"/>
      <c r="GW9" s="469"/>
      <c r="GX9" s="469"/>
      <c r="GY9" s="469"/>
      <c r="GZ9" s="469"/>
      <c r="HA9" s="469"/>
      <c r="HB9" s="469"/>
      <c r="HC9" s="469"/>
      <c r="HD9" s="469"/>
      <c r="HE9" s="469"/>
      <c r="HF9" s="469"/>
      <c r="HG9" s="469"/>
      <c r="HH9" s="469"/>
      <c r="HI9" s="469"/>
      <c r="HJ9" s="469"/>
      <c r="HK9" s="469"/>
      <c r="HL9" s="469"/>
      <c r="HM9" s="469"/>
      <c r="HN9" s="469"/>
      <c r="HO9" s="469"/>
      <c r="HP9" s="469"/>
      <c r="HQ9" s="469"/>
    </row>
    <row r="10" spans="1:225" ht="14.4" x14ac:dyDescent="0.3">
      <c r="A10" s="155" t="s">
        <v>441</v>
      </c>
      <c r="B10" s="472">
        <v>0</v>
      </c>
      <c r="C10" s="496">
        <f t="shared" si="0"/>
        <v>0</v>
      </c>
      <c r="D10" s="472">
        <v>0</v>
      </c>
      <c r="E10" s="496">
        <f t="shared" si="0"/>
        <v>0</v>
      </c>
      <c r="F10" s="472">
        <v>0</v>
      </c>
      <c r="G10" s="496">
        <f t="shared" ref="G10" si="5">IF(F$13&lt;&gt;0,F10*100/F$13,"-")</f>
        <v>0</v>
      </c>
      <c r="H10" s="471" t="str">
        <f t="shared" si="2"/>
        <v>-</v>
      </c>
      <c r="I10" s="469"/>
      <c r="J10" s="469"/>
      <c r="K10" s="469"/>
      <c r="L10" s="469"/>
      <c r="M10" s="469"/>
      <c r="N10" s="469"/>
      <c r="O10" s="469"/>
      <c r="P10" s="469"/>
      <c r="Q10" s="469"/>
      <c r="R10" s="469"/>
      <c r="S10" s="469"/>
      <c r="T10" s="469"/>
      <c r="U10" s="469"/>
      <c r="V10" s="469"/>
      <c r="W10" s="469"/>
      <c r="X10" s="469"/>
      <c r="Y10" s="469"/>
      <c r="Z10" s="469"/>
      <c r="AA10" s="469"/>
      <c r="AB10" s="469"/>
      <c r="AC10" s="469"/>
      <c r="AD10" s="469"/>
      <c r="AE10" s="469"/>
      <c r="AF10" s="469"/>
      <c r="AG10" s="469"/>
      <c r="AH10" s="469"/>
      <c r="AI10" s="469"/>
      <c r="AJ10" s="469"/>
      <c r="AK10" s="469"/>
      <c r="AL10" s="469"/>
      <c r="AM10" s="469"/>
      <c r="AN10" s="469"/>
      <c r="AO10" s="469"/>
      <c r="AP10" s="469"/>
      <c r="AQ10" s="469"/>
      <c r="AR10" s="469"/>
      <c r="AS10" s="469"/>
      <c r="AT10" s="469"/>
      <c r="AU10" s="469"/>
      <c r="AV10" s="469"/>
      <c r="AW10" s="469"/>
      <c r="AX10" s="469"/>
      <c r="AY10" s="469"/>
      <c r="AZ10" s="469"/>
      <c r="BA10" s="469"/>
      <c r="BB10" s="469"/>
      <c r="BC10" s="469"/>
      <c r="BD10" s="469"/>
      <c r="BE10" s="469"/>
      <c r="BF10" s="469"/>
      <c r="BG10" s="469"/>
      <c r="BH10" s="469"/>
      <c r="BI10" s="469"/>
      <c r="BJ10" s="469"/>
      <c r="BK10" s="469"/>
      <c r="BL10" s="469"/>
      <c r="BM10" s="469"/>
      <c r="BN10" s="469"/>
      <c r="BO10" s="469"/>
      <c r="BP10" s="469"/>
      <c r="BQ10" s="469"/>
      <c r="BR10" s="469"/>
      <c r="BS10" s="469"/>
      <c r="BT10" s="469"/>
      <c r="BU10" s="469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 s="469"/>
      <c r="FS10" s="469"/>
      <c r="FT10" s="469"/>
      <c r="FU10" s="469"/>
      <c r="FV10" s="469"/>
      <c r="FW10" s="469"/>
      <c r="FX10" s="469"/>
      <c r="FY10" s="469"/>
      <c r="FZ10" s="469"/>
      <c r="GA10" s="469"/>
      <c r="GB10" s="469"/>
      <c r="GC10" s="469"/>
      <c r="GD10" s="469"/>
      <c r="GE10" s="469"/>
      <c r="GF10" s="469"/>
      <c r="GG10" s="469"/>
      <c r="GH10" s="469"/>
      <c r="GI10" s="469"/>
      <c r="GJ10" s="469"/>
      <c r="GK10" s="469"/>
      <c r="GL10" s="469"/>
      <c r="GM10" s="469"/>
      <c r="GN10" s="469"/>
      <c r="GO10" s="469"/>
      <c r="GP10" s="469"/>
      <c r="GQ10" s="469"/>
      <c r="GR10" s="469"/>
      <c r="GS10" s="469"/>
      <c r="GT10" s="469"/>
      <c r="GU10" s="469"/>
      <c r="GV10" s="469"/>
      <c r="GW10" s="469"/>
      <c r="GX10" s="469"/>
      <c r="GY10" s="469"/>
      <c r="GZ10" s="469"/>
      <c r="HA10" s="469"/>
      <c r="HB10" s="469"/>
      <c r="HC10" s="469"/>
      <c r="HD10" s="469"/>
      <c r="HE10" s="469"/>
      <c r="HF10" s="469"/>
      <c r="HG10" s="469"/>
      <c r="HH10" s="469"/>
      <c r="HI10" s="469"/>
      <c r="HJ10" s="469"/>
      <c r="HK10" s="469"/>
      <c r="HL10" s="469"/>
      <c r="HM10" s="469"/>
      <c r="HN10" s="469"/>
      <c r="HO10" s="469"/>
      <c r="HP10" s="469"/>
      <c r="HQ10" s="469"/>
    </row>
    <row r="11" spans="1:225" ht="14.4" x14ac:dyDescent="0.3">
      <c r="A11" s="155" t="s">
        <v>442</v>
      </c>
      <c r="B11" s="472">
        <v>8.8999999999999996E-2</v>
      </c>
      <c r="C11" s="496">
        <f t="shared" si="0"/>
        <v>2.7006032358688661E-2</v>
      </c>
      <c r="D11" s="472">
        <v>7.6999999999999999E-2</v>
      </c>
      <c r="E11" s="496">
        <f t="shared" si="0"/>
        <v>1.8806633612583345E-2</v>
      </c>
      <c r="F11" s="472">
        <v>3.1E-2</v>
      </c>
      <c r="G11" s="496">
        <f t="shared" ref="G11" si="6">IF(F$13&lt;&gt;0,F11*100/F$13,"-")</f>
        <v>6.623124961276085E-3</v>
      </c>
      <c r="H11" s="471">
        <f t="shared" si="2"/>
        <v>40.259740259740262</v>
      </c>
      <c r="I11" s="473"/>
      <c r="J11" s="469"/>
      <c r="K11" s="469"/>
      <c r="L11" s="469"/>
      <c r="M11" s="469"/>
      <c r="N11" s="469"/>
      <c r="O11" s="469"/>
      <c r="P11" s="469"/>
      <c r="Q11" s="469"/>
      <c r="R11" s="469"/>
      <c r="S11" s="469"/>
      <c r="T11" s="469"/>
      <c r="U11" s="469"/>
      <c r="V11" s="469"/>
      <c r="W11" s="469"/>
      <c r="X11" s="469"/>
      <c r="Y11" s="469"/>
      <c r="Z11" s="469"/>
      <c r="AA11" s="469"/>
      <c r="AB11" s="469"/>
      <c r="AC11" s="469"/>
      <c r="AD11" s="469"/>
      <c r="AE11" s="469"/>
      <c r="AF11" s="469"/>
      <c r="AG11" s="469"/>
      <c r="AH11" s="469"/>
      <c r="AI11" s="469"/>
      <c r="AJ11" s="469"/>
      <c r="AK11" s="469"/>
      <c r="AL11" s="469"/>
      <c r="AM11" s="469"/>
      <c r="AN11" s="469"/>
      <c r="AO11" s="469"/>
      <c r="AP11" s="469"/>
      <c r="AQ11" s="469"/>
      <c r="AR11" s="469"/>
      <c r="AS11" s="469"/>
      <c r="AT11" s="469"/>
      <c r="AU11" s="469"/>
      <c r="AV11" s="469"/>
      <c r="AW11" s="469"/>
      <c r="AX11" s="469"/>
      <c r="AY11" s="469"/>
      <c r="AZ11" s="469"/>
      <c r="BA11" s="469"/>
      <c r="BB11" s="469"/>
      <c r="BC11" s="469"/>
      <c r="BD11" s="469"/>
      <c r="BE11" s="469"/>
      <c r="BF11" s="469"/>
      <c r="BG11" s="469"/>
      <c r="BH11" s="469"/>
      <c r="BI11" s="469"/>
      <c r="BJ11" s="469"/>
      <c r="BK11" s="469"/>
      <c r="BL11" s="469"/>
      <c r="BM11" s="469"/>
      <c r="BN11" s="469"/>
      <c r="BO11" s="469"/>
      <c r="BP11" s="469"/>
      <c r="BQ11" s="469"/>
      <c r="BR11" s="469"/>
      <c r="BS11" s="469"/>
      <c r="BT11" s="469"/>
      <c r="BU11" s="469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 s="469"/>
      <c r="FS11" s="469"/>
      <c r="FT11" s="469"/>
      <c r="FU11" s="469"/>
      <c r="FV11" s="469"/>
      <c r="FW11" s="469"/>
      <c r="FX11" s="469"/>
      <c r="FY11" s="469"/>
      <c r="FZ11" s="469"/>
      <c r="GA11" s="469"/>
      <c r="GB11" s="469"/>
      <c r="GC11" s="469"/>
      <c r="GD11" s="469"/>
      <c r="GE11" s="469"/>
      <c r="GF11" s="469"/>
      <c r="GG11" s="469"/>
      <c r="GH11" s="469"/>
      <c r="GI11" s="469"/>
      <c r="GJ11" s="469"/>
      <c r="GK11" s="469"/>
      <c r="GL11" s="469"/>
      <c r="GM11" s="469"/>
      <c r="GN11" s="469"/>
      <c r="GO11" s="469"/>
      <c r="GP11" s="469"/>
      <c r="GQ11" s="469"/>
      <c r="GR11" s="469"/>
      <c r="GS11" s="469"/>
      <c r="GT11" s="469"/>
      <c r="GU11" s="469"/>
      <c r="GV11" s="469"/>
      <c r="GW11" s="469"/>
      <c r="GX11" s="469"/>
      <c r="GY11" s="469"/>
      <c r="GZ11" s="469"/>
      <c r="HA11" s="469"/>
      <c r="HB11" s="469"/>
      <c r="HC11" s="469"/>
      <c r="HD11" s="469"/>
      <c r="HE11" s="469"/>
      <c r="HF11" s="469"/>
      <c r="HG11" s="469"/>
      <c r="HH11" s="469"/>
      <c r="HI11" s="469"/>
      <c r="HJ11" s="469"/>
      <c r="HK11" s="469"/>
      <c r="HL11" s="469"/>
      <c r="HM11" s="469"/>
      <c r="HN11" s="469"/>
      <c r="HO11" s="469"/>
      <c r="HP11" s="469"/>
      <c r="HQ11" s="469"/>
    </row>
    <row r="12" spans="1:225" ht="14.4" x14ac:dyDescent="0.3">
      <c r="A12" s="155" t="s">
        <v>443</v>
      </c>
      <c r="B12" s="472">
        <v>28.135999999999999</v>
      </c>
      <c r="C12" s="496">
        <f t="shared" si="0"/>
        <v>8.5375474881355515</v>
      </c>
      <c r="D12" s="472">
        <v>30.62</v>
      </c>
      <c r="E12" s="496">
        <f t="shared" si="0"/>
        <v>7.4786898859389872</v>
      </c>
      <c r="F12" s="472">
        <v>30.638000000000002</v>
      </c>
      <c r="G12" s="496">
        <f t="shared" ref="G12" si="7">IF(F$13&lt;&gt;0,F12*100/F$13,"-")</f>
        <v>6.5457839536637641</v>
      </c>
      <c r="H12" s="471">
        <f t="shared" si="2"/>
        <v>100.05878510777271</v>
      </c>
      <c r="I12" s="469"/>
      <c r="J12" s="469"/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69"/>
      <c r="AT12" s="469"/>
      <c r="AU12" s="469"/>
      <c r="AV12" s="469"/>
      <c r="AW12" s="469"/>
      <c r="AX12" s="469"/>
      <c r="AY12" s="469"/>
      <c r="AZ12" s="469"/>
      <c r="BA12" s="469"/>
      <c r="BB12" s="469"/>
      <c r="BC12" s="469"/>
      <c r="BD12" s="469"/>
      <c r="BE12" s="469"/>
      <c r="BF12" s="469"/>
      <c r="BG12" s="469"/>
      <c r="BH12" s="469"/>
      <c r="BI12" s="469"/>
      <c r="BJ12" s="469"/>
      <c r="BK12" s="469"/>
      <c r="BL12" s="469"/>
      <c r="BM12" s="469"/>
      <c r="BN12" s="469"/>
      <c r="BO12" s="469"/>
      <c r="BP12" s="469"/>
      <c r="BQ12" s="469"/>
      <c r="BR12" s="469"/>
      <c r="BS12" s="469"/>
      <c r="BT12" s="469"/>
      <c r="BU12" s="469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 s="469"/>
      <c r="FS12" s="469"/>
      <c r="FT12" s="469"/>
      <c r="FU12" s="469"/>
      <c r="FV12" s="469"/>
      <c r="FW12" s="469"/>
      <c r="FX12" s="469"/>
      <c r="FY12" s="469"/>
      <c r="FZ12" s="469"/>
      <c r="GA12" s="469"/>
      <c r="GB12" s="469"/>
      <c r="GC12" s="469"/>
      <c r="GD12" s="469"/>
      <c r="GE12" s="469"/>
      <c r="GF12" s="469"/>
      <c r="GG12" s="469"/>
      <c r="GH12" s="469"/>
      <c r="GI12" s="469"/>
      <c r="GJ12" s="469"/>
      <c r="GK12" s="469"/>
      <c r="GL12" s="469"/>
      <c r="GM12" s="469"/>
      <c r="GN12" s="469"/>
      <c r="GO12" s="469"/>
      <c r="GP12" s="469"/>
      <c r="GQ12" s="469"/>
      <c r="GR12" s="469"/>
      <c r="GS12" s="469"/>
      <c r="GT12" s="469"/>
      <c r="GU12" s="469"/>
      <c r="GV12" s="469"/>
      <c r="GW12" s="469"/>
      <c r="GX12" s="469"/>
      <c r="GY12" s="469"/>
      <c r="GZ12" s="469"/>
      <c r="HA12" s="469"/>
      <c r="HB12" s="469"/>
      <c r="HC12" s="469"/>
      <c r="HD12" s="469"/>
      <c r="HE12" s="469"/>
      <c r="HF12" s="469"/>
      <c r="HG12" s="469"/>
      <c r="HH12" s="469"/>
      <c r="HI12" s="469"/>
      <c r="HJ12" s="469"/>
      <c r="HK12" s="469"/>
      <c r="HL12" s="469"/>
      <c r="HM12" s="469"/>
      <c r="HN12" s="469"/>
      <c r="HO12" s="469"/>
      <c r="HP12" s="469"/>
      <c r="HQ12" s="469"/>
    </row>
    <row r="13" spans="1:225" ht="14.4" x14ac:dyDescent="0.3">
      <c r="A13" s="474" t="s">
        <v>444</v>
      </c>
      <c r="B13" s="475">
        <f t="shared" ref="B13:G13" si="8">SUM(B6:B12)</f>
        <v>329.55599999999998</v>
      </c>
      <c r="C13" s="497">
        <f t="shared" si="8"/>
        <v>100</v>
      </c>
      <c r="D13" s="475">
        <f t="shared" si="8"/>
        <v>409.43000000000006</v>
      </c>
      <c r="E13" s="497">
        <f t="shared" si="8"/>
        <v>100</v>
      </c>
      <c r="F13" s="475">
        <f t="shared" si="8"/>
        <v>468.05699999999996</v>
      </c>
      <c r="G13" s="497">
        <f t="shared" si="8"/>
        <v>100.00000000000001</v>
      </c>
      <c r="H13" s="471">
        <f t="shared" si="2"/>
        <v>114.31917543902496</v>
      </c>
      <c r="I13" s="476"/>
      <c r="J13" s="469"/>
      <c r="K13" s="469"/>
      <c r="L13" s="469"/>
      <c r="M13" s="469"/>
      <c r="N13" s="469"/>
      <c r="O13" s="469"/>
      <c r="P13" s="469"/>
      <c r="Q13" s="469"/>
      <c r="R13" s="469"/>
      <c r="S13" s="469"/>
      <c r="T13" s="469"/>
      <c r="U13" s="469"/>
      <c r="V13" s="469"/>
      <c r="W13" s="469"/>
      <c r="X13" s="469"/>
      <c r="Y13" s="469"/>
      <c r="Z13" s="469"/>
      <c r="AA13" s="469"/>
      <c r="AB13" s="469"/>
      <c r="AC13" s="469"/>
      <c r="AD13" s="469"/>
      <c r="AE13" s="469"/>
      <c r="AF13" s="469"/>
      <c r="AG13" s="469"/>
      <c r="AH13" s="469"/>
      <c r="AI13" s="469"/>
      <c r="AJ13" s="469"/>
      <c r="AK13" s="469"/>
      <c r="AL13" s="469"/>
      <c r="AM13" s="469"/>
      <c r="AN13" s="469"/>
      <c r="AO13" s="469"/>
      <c r="AP13" s="469"/>
      <c r="AQ13" s="469"/>
      <c r="AR13" s="469"/>
      <c r="AS13" s="469"/>
      <c r="AT13" s="469"/>
      <c r="AU13" s="469"/>
      <c r="AV13" s="469"/>
      <c r="AW13" s="469"/>
      <c r="AX13" s="469"/>
      <c r="AY13" s="469"/>
      <c r="AZ13" s="469"/>
      <c r="BA13" s="469"/>
      <c r="BB13" s="469"/>
      <c r="BC13" s="469"/>
      <c r="BD13" s="469"/>
      <c r="BE13" s="469"/>
      <c r="BF13" s="469"/>
      <c r="BG13" s="469"/>
      <c r="BH13" s="469"/>
      <c r="BI13" s="469"/>
      <c r="BJ13" s="469"/>
      <c r="BK13" s="469"/>
      <c r="BL13" s="469"/>
      <c r="BM13" s="469"/>
      <c r="BN13" s="469"/>
      <c r="BO13" s="469"/>
      <c r="BP13" s="469"/>
      <c r="BQ13" s="469"/>
      <c r="BR13" s="469"/>
      <c r="BS13" s="469"/>
      <c r="BT13" s="469"/>
      <c r="BU13" s="469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 s="469"/>
      <c r="FS13" s="469"/>
      <c r="FT13" s="469"/>
      <c r="FU13" s="469"/>
      <c r="FV13" s="469"/>
      <c r="FW13" s="469"/>
      <c r="FX13" s="469"/>
      <c r="FY13" s="469"/>
      <c r="FZ13" s="469"/>
      <c r="GA13" s="469"/>
      <c r="GB13" s="469"/>
      <c r="GC13" s="469"/>
      <c r="GD13" s="469"/>
      <c r="GE13" s="469"/>
      <c r="GF13" s="469"/>
      <c r="GG13" s="469"/>
      <c r="GH13" s="469"/>
      <c r="GI13" s="469"/>
      <c r="GJ13" s="469"/>
      <c r="GK13" s="469"/>
      <c r="GL13" s="469"/>
      <c r="GM13" s="469"/>
      <c r="GN13" s="469"/>
      <c r="GO13" s="469"/>
      <c r="GP13" s="469"/>
      <c r="GQ13" s="469"/>
      <c r="GR13" s="469"/>
      <c r="GS13" s="469"/>
      <c r="GT13" s="469"/>
      <c r="GU13" s="469"/>
      <c r="GV13" s="469"/>
      <c r="GW13" s="469"/>
      <c r="GX13" s="469"/>
      <c r="GY13" s="469"/>
      <c r="GZ13" s="469"/>
      <c r="HA13" s="469"/>
      <c r="HB13" s="469"/>
      <c r="HC13" s="469"/>
      <c r="HD13" s="469"/>
      <c r="HE13" s="469"/>
      <c r="HF13" s="469"/>
      <c r="HG13" s="469"/>
      <c r="HH13" s="469"/>
      <c r="HI13" s="469"/>
      <c r="HJ13" s="469"/>
      <c r="HK13" s="469"/>
      <c r="HL13" s="469"/>
      <c r="HM13" s="469"/>
      <c r="HN13" s="469"/>
      <c r="HO13" s="469"/>
      <c r="HP13" s="469"/>
      <c r="HQ13" s="469"/>
    </row>
    <row r="14" spans="1:225" ht="14.4" x14ac:dyDescent="0.3">
      <c r="A14" s="155" t="s">
        <v>445</v>
      </c>
      <c r="B14" s="472"/>
      <c r="C14" s="498"/>
      <c r="D14" s="472"/>
      <c r="E14" s="498"/>
      <c r="F14" s="472"/>
      <c r="G14" s="498"/>
      <c r="H14" s="471" t="str">
        <f t="shared" si="2"/>
        <v>-</v>
      </c>
      <c r="I14" s="469"/>
      <c r="J14" s="469"/>
      <c r="K14" s="469"/>
      <c r="L14" s="469"/>
      <c r="M14" s="469"/>
      <c r="N14" s="469"/>
      <c r="O14" s="469"/>
      <c r="P14" s="469"/>
      <c r="Q14" s="469"/>
      <c r="R14" s="469"/>
      <c r="S14" s="469"/>
      <c r="T14" s="469"/>
      <c r="U14" s="469"/>
      <c r="V14" s="469"/>
      <c r="W14" s="469"/>
      <c r="X14" s="469"/>
      <c r="Y14" s="469"/>
      <c r="Z14" s="469"/>
      <c r="AA14" s="469"/>
      <c r="AB14" s="469"/>
      <c r="AC14" s="469"/>
      <c r="AD14" s="469"/>
      <c r="AE14" s="469"/>
      <c r="AF14" s="469"/>
      <c r="AG14" s="469"/>
      <c r="AH14" s="469"/>
      <c r="AI14" s="469"/>
      <c r="AJ14" s="469"/>
      <c r="AK14" s="469"/>
      <c r="AL14" s="469"/>
      <c r="AM14" s="469"/>
      <c r="AN14" s="469"/>
      <c r="AO14" s="469"/>
      <c r="AP14" s="469"/>
      <c r="AQ14" s="469"/>
      <c r="AR14" s="469"/>
      <c r="AS14" s="469"/>
      <c r="AT14" s="469"/>
      <c r="AU14" s="469"/>
      <c r="AV14" s="469"/>
      <c r="AW14" s="469"/>
      <c r="AX14" s="469"/>
      <c r="AY14" s="469"/>
      <c r="AZ14" s="469"/>
      <c r="BA14" s="469"/>
      <c r="BB14" s="469"/>
      <c r="BC14" s="469"/>
      <c r="BD14" s="469"/>
      <c r="BE14" s="469"/>
      <c r="BF14" s="469"/>
      <c r="BG14" s="469"/>
      <c r="BH14" s="469"/>
      <c r="BI14" s="469"/>
      <c r="BJ14" s="469"/>
      <c r="BK14" s="469"/>
      <c r="BL14" s="469"/>
      <c r="BM14" s="469"/>
      <c r="BN14" s="469"/>
      <c r="BO14" s="469"/>
      <c r="BP14" s="469"/>
      <c r="BQ14" s="469"/>
      <c r="BR14" s="469"/>
      <c r="BS14" s="469"/>
      <c r="BT14" s="469"/>
      <c r="BU14" s="469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 s="469"/>
      <c r="FS14" s="469"/>
      <c r="FT14" s="469"/>
      <c r="FU14" s="469"/>
      <c r="FV14" s="469"/>
      <c r="FW14" s="469"/>
      <c r="FX14" s="469"/>
      <c r="FY14" s="469"/>
      <c r="FZ14" s="469"/>
      <c r="GA14" s="469"/>
      <c r="GB14" s="469"/>
      <c r="GC14" s="469"/>
      <c r="GD14" s="469"/>
      <c r="GE14" s="469"/>
      <c r="GF14" s="469"/>
      <c r="GG14" s="469"/>
      <c r="GH14" s="469"/>
      <c r="GI14" s="469"/>
      <c r="GJ14" s="469"/>
      <c r="GK14" s="469"/>
      <c r="GL14" s="469"/>
      <c r="GM14" s="469"/>
      <c r="GN14" s="469"/>
      <c r="GO14" s="469"/>
      <c r="GP14" s="469"/>
      <c r="GQ14" s="469"/>
      <c r="GR14" s="469"/>
      <c r="GS14" s="469"/>
      <c r="GT14" s="469"/>
      <c r="GU14" s="469"/>
      <c r="GV14" s="469"/>
      <c r="GW14" s="469"/>
      <c r="GX14" s="469"/>
      <c r="GY14" s="469"/>
      <c r="GZ14" s="469"/>
      <c r="HA14" s="469"/>
      <c r="HB14" s="469"/>
      <c r="HC14" s="469"/>
      <c r="HD14" s="469"/>
      <c r="HE14" s="469"/>
      <c r="HF14" s="469"/>
      <c r="HG14" s="469"/>
      <c r="HH14" s="469"/>
      <c r="HI14" s="469"/>
      <c r="HJ14" s="469"/>
      <c r="HK14" s="469"/>
      <c r="HL14" s="469"/>
      <c r="HM14" s="469"/>
      <c r="HN14" s="469"/>
      <c r="HO14" s="469"/>
      <c r="HP14" s="469"/>
      <c r="HQ14" s="469"/>
    </row>
    <row r="15" spans="1:225" ht="14.4" x14ac:dyDescent="0.3">
      <c r="A15" s="155" t="s">
        <v>446</v>
      </c>
      <c r="B15" s="472">
        <v>33.061999999999998</v>
      </c>
      <c r="C15" s="496">
        <f>IF(B$21&lt;&gt;0,B15*100/B$21,"-")</f>
        <v>65.68783279027258</v>
      </c>
      <c r="D15" s="472">
        <v>39.164999999999999</v>
      </c>
      <c r="E15" s="496">
        <f>IF(D$21&lt;&gt;0,D15*100/D$21,"-")</f>
        <v>68.979182077565255</v>
      </c>
      <c r="F15" s="472">
        <v>59.662999999999997</v>
      </c>
      <c r="G15" s="496">
        <f>IF(F$21&lt;&gt;0,F15*100/F$21,"-")</f>
        <v>75.951574712936306</v>
      </c>
      <c r="H15" s="471">
        <f t="shared" si="2"/>
        <v>152.33754627856504</v>
      </c>
      <c r="I15" s="469"/>
      <c r="J15" s="469"/>
      <c r="K15" s="469"/>
      <c r="L15" s="469"/>
      <c r="M15" s="469"/>
      <c r="N15" s="469"/>
      <c r="O15" s="469"/>
      <c r="P15" s="469"/>
      <c r="Q15" s="469"/>
      <c r="R15" s="469"/>
      <c r="S15" s="469"/>
      <c r="T15" s="469"/>
      <c r="U15" s="469"/>
      <c r="V15" s="469"/>
      <c r="W15" s="469"/>
      <c r="X15" s="469"/>
      <c r="Y15" s="469"/>
      <c r="Z15" s="469"/>
      <c r="AA15" s="469"/>
      <c r="AB15" s="469"/>
      <c r="AC15" s="469"/>
      <c r="AD15" s="469"/>
      <c r="AE15" s="469"/>
      <c r="AF15" s="469"/>
      <c r="AG15" s="469"/>
      <c r="AH15" s="469"/>
      <c r="AI15" s="469"/>
      <c r="AJ15" s="469"/>
      <c r="AK15" s="469"/>
      <c r="AL15" s="469"/>
      <c r="AM15" s="469"/>
      <c r="AN15" s="469"/>
      <c r="AO15" s="469"/>
      <c r="AP15" s="469"/>
      <c r="AQ15" s="469"/>
      <c r="AR15" s="469"/>
      <c r="AS15" s="469"/>
      <c r="AT15" s="469"/>
      <c r="AU15" s="469"/>
      <c r="AV15" s="469"/>
      <c r="AW15" s="469"/>
      <c r="AX15" s="469"/>
      <c r="AY15" s="469"/>
      <c r="AZ15" s="469"/>
      <c r="BA15" s="469"/>
      <c r="BB15" s="469"/>
      <c r="BC15" s="469"/>
      <c r="BD15" s="469"/>
      <c r="BE15" s="469"/>
      <c r="BF15" s="469"/>
      <c r="BG15" s="469"/>
      <c r="BH15" s="469"/>
      <c r="BI15" s="469"/>
      <c r="BJ15" s="469"/>
      <c r="BK15" s="469"/>
      <c r="BL15" s="469"/>
      <c r="BM15" s="469"/>
      <c r="BN15" s="469"/>
      <c r="BO15" s="469"/>
      <c r="BP15" s="469"/>
      <c r="BQ15" s="469"/>
      <c r="BR15" s="469"/>
      <c r="BS15" s="469"/>
      <c r="BT15" s="469"/>
      <c r="BU15" s="469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 s="469"/>
      <c r="FS15" s="469"/>
      <c r="FT15" s="469"/>
      <c r="FU15" s="469"/>
      <c r="FV15" s="469"/>
      <c r="FW15" s="469"/>
      <c r="FX15" s="469"/>
      <c r="FY15" s="469"/>
      <c r="FZ15" s="469"/>
      <c r="GA15" s="469"/>
      <c r="GB15" s="469"/>
      <c r="GC15" s="469"/>
      <c r="GD15" s="469"/>
      <c r="GE15" s="469"/>
      <c r="GF15" s="469"/>
      <c r="GG15" s="469"/>
      <c r="GH15" s="469"/>
      <c r="GI15" s="469"/>
      <c r="GJ15" s="469"/>
      <c r="GK15" s="469"/>
      <c r="GL15" s="469"/>
      <c r="GM15" s="469"/>
      <c r="GN15" s="469"/>
      <c r="GO15" s="469"/>
      <c r="GP15" s="469"/>
      <c r="GQ15" s="469"/>
      <c r="GR15" s="469"/>
      <c r="GS15" s="469"/>
      <c r="GT15" s="469"/>
      <c r="GU15" s="469"/>
      <c r="GV15" s="469"/>
      <c r="GW15" s="469"/>
      <c r="GX15" s="469"/>
      <c r="GY15" s="469"/>
      <c r="GZ15" s="469"/>
      <c r="HA15" s="469"/>
      <c r="HB15" s="469"/>
      <c r="HC15" s="469"/>
      <c r="HD15" s="469"/>
      <c r="HE15" s="469"/>
      <c r="HF15" s="469"/>
      <c r="HG15" s="469"/>
      <c r="HH15" s="469"/>
      <c r="HI15" s="469"/>
      <c r="HJ15" s="469"/>
      <c r="HK15" s="469"/>
      <c r="HL15" s="469"/>
      <c r="HM15" s="469"/>
      <c r="HN15" s="469"/>
      <c r="HO15" s="469"/>
      <c r="HP15" s="469"/>
      <c r="HQ15" s="469"/>
    </row>
    <row r="16" spans="1:225" ht="14.4" x14ac:dyDescent="0.3">
      <c r="A16" s="155" t="s">
        <v>447</v>
      </c>
      <c r="B16" s="472">
        <v>0</v>
      </c>
      <c r="C16" s="496">
        <f t="shared" ref="C16:E20" si="9">IF(B$21&lt;&gt;0,B16*100/B$21,"-")</f>
        <v>0</v>
      </c>
      <c r="D16" s="472">
        <v>0</v>
      </c>
      <c r="E16" s="496">
        <f t="shared" si="9"/>
        <v>0</v>
      </c>
      <c r="F16" s="472">
        <v>0</v>
      </c>
      <c r="G16" s="496">
        <f t="shared" ref="G16" si="10">IF(F$21&lt;&gt;0,F16*100/F$21,"-")</f>
        <v>0</v>
      </c>
      <c r="H16" s="471" t="str">
        <f t="shared" si="2"/>
        <v>-</v>
      </c>
      <c r="I16" s="473"/>
      <c r="J16" s="469"/>
      <c r="K16" s="469"/>
      <c r="L16" s="469"/>
      <c r="M16" s="469"/>
      <c r="N16" s="469"/>
      <c r="O16" s="469"/>
      <c r="P16" s="469"/>
      <c r="Q16" s="469"/>
      <c r="R16" s="469"/>
      <c r="S16" s="469"/>
      <c r="T16" s="469"/>
      <c r="U16" s="469"/>
      <c r="V16" s="469"/>
      <c r="W16" s="469"/>
      <c r="X16" s="469"/>
      <c r="Y16" s="469"/>
      <c r="Z16" s="469"/>
      <c r="AA16" s="469"/>
      <c r="AB16" s="469"/>
      <c r="AC16" s="469"/>
      <c r="AD16" s="469"/>
      <c r="AE16" s="469"/>
      <c r="AF16" s="469"/>
      <c r="AG16" s="469"/>
      <c r="AH16" s="469"/>
      <c r="AI16" s="469"/>
      <c r="AJ16" s="469"/>
      <c r="AK16" s="469"/>
      <c r="AL16" s="469"/>
      <c r="AM16" s="469"/>
      <c r="AN16" s="469"/>
      <c r="AO16" s="469"/>
      <c r="AP16" s="469"/>
      <c r="AQ16" s="469"/>
      <c r="AR16" s="469"/>
      <c r="AS16" s="469"/>
      <c r="AT16" s="469"/>
      <c r="AU16" s="469"/>
      <c r="AV16" s="469"/>
      <c r="AW16" s="469"/>
      <c r="AX16" s="469"/>
      <c r="AY16" s="469"/>
      <c r="AZ16" s="469"/>
      <c r="BA16" s="469"/>
      <c r="BB16" s="469"/>
      <c r="BC16" s="469"/>
      <c r="BD16" s="469"/>
      <c r="BE16" s="469"/>
      <c r="BF16" s="469"/>
      <c r="BG16" s="469"/>
      <c r="BH16" s="469"/>
      <c r="BI16" s="469"/>
      <c r="BJ16" s="469"/>
      <c r="BK16" s="469"/>
      <c r="BL16" s="469"/>
      <c r="BM16" s="469"/>
      <c r="BN16" s="469"/>
      <c r="BO16" s="469"/>
      <c r="BP16" s="469"/>
      <c r="BQ16" s="469"/>
      <c r="BR16" s="469"/>
      <c r="BS16" s="469"/>
      <c r="BT16" s="469"/>
      <c r="BU16" s="469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 s="469"/>
      <c r="FS16" s="469"/>
      <c r="FT16" s="469"/>
      <c r="FU16" s="469"/>
      <c r="FV16" s="469"/>
      <c r="FW16" s="469"/>
      <c r="FX16" s="469"/>
      <c r="FY16" s="469"/>
      <c r="FZ16" s="469"/>
      <c r="GA16" s="469"/>
      <c r="GB16" s="469"/>
      <c r="GC16" s="469"/>
      <c r="GD16" s="469"/>
      <c r="GE16" s="469"/>
      <c r="GF16" s="469"/>
      <c r="GG16" s="469"/>
      <c r="GH16" s="469"/>
      <c r="GI16" s="469"/>
      <c r="GJ16" s="469"/>
      <c r="GK16" s="469"/>
      <c r="GL16" s="469"/>
      <c r="GM16" s="469"/>
      <c r="GN16" s="469"/>
      <c r="GO16" s="469"/>
      <c r="GP16" s="469"/>
      <c r="GQ16" s="469"/>
      <c r="GR16" s="469"/>
      <c r="GS16" s="469"/>
      <c r="GT16" s="469"/>
      <c r="GU16" s="469"/>
      <c r="GV16" s="469"/>
      <c r="GW16" s="469"/>
      <c r="GX16" s="469"/>
      <c r="GY16" s="469"/>
      <c r="GZ16" s="469"/>
      <c r="HA16" s="469"/>
      <c r="HB16" s="469"/>
      <c r="HC16" s="469"/>
      <c r="HD16" s="469"/>
      <c r="HE16" s="469"/>
      <c r="HF16" s="469"/>
      <c r="HG16" s="469"/>
      <c r="HH16" s="469"/>
      <c r="HI16" s="469"/>
      <c r="HJ16" s="469"/>
      <c r="HK16" s="469"/>
      <c r="HL16" s="469"/>
      <c r="HM16" s="469"/>
      <c r="HN16" s="469"/>
      <c r="HO16" s="469"/>
      <c r="HP16" s="469"/>
      <c r="HQ16" s="469"/>
    </row>
    <row r="17" spans="1:225" ht="14.4" x14ac:dyDescent="0.3">
      <c r="A17" s="155" t="s">
        <v>448</v>
      </c>
      <c r="B17" s="472">
        <v>0</v>
      </c>
      <c r="C17" s="496">
        <f t="shared" si="9"/>
        <v>0</v>
      </c>
      <c r="D17" s="472">
        <v>0</v>
      </c>
      <c r="E17" s="496">
        <f t="shared" si="9"/>
        <v>0</v>
      </c>
      <c r="F17" s="472">
        <v>0</v>
      </c>
      <c r="G17" s="496">
        <f t="shared" ref="G17" si="11">IF(F$21&lt;&gt;0,F17*100/F$21,"-")</f>
        <v>0</v>
      </c>
      <c r="H17" s="471" t="str">
        <f t="shared" si="2"/>
        <v>-</v>
      </c>
      <c r="I17" s="469"/>
      <c r="J17" s="469"/>
      <c r="K17" s="469"/>
      <c r="L17" s="469"/>
      <c r="M17" s="469"/>
      <c r="N17" s="469"/>
      <c r="O17" s="469"/>
      <c r="P17" s="469"/>
      <c r="Q17" s="469"/>
      <c r="R17" s="469"/>
      <c r="S17" s="469"/>
      <c r="T17" s="469"/>
      <c r="U17" s="469"/>
      <c r="V17" s="469"/>
      <c r="W17" s="469"/>
      <c r="X17" s="469"/>
      <c r="Y17" s="469"/>
      <c r="Z17" s="469"/>
      <c r="AA17" s="469"/>
      <c r="AB17" s="469"/>
      <c r="AC17" s="469"/>
      <c r="AD17" s="469"/>
      <c r="AE17" s="469"/>
      <c r="AF17" s="469"/>
      <c r="AG17" s="469"/>
      <c r="AH17" s="469"/>
      <c r="AI17" s="469"/>
      <c r="AJ17" s="469"/>
      <c r="AK17" s="469"/>
      <c r="AL17" s="469"/>
      <c r="AM17" s="469"/>
      <c r="AN17" s="469"/>
      <c r="AO17" s="469"/>
      <c r="AP17" s="469"/>
      <c r="AQ17" s="469"/>
      <c r="AR17" s="469"/>
      <c r="AS17" s="469"/>
      <c r="AT17" s="469"/>
      <c r="AU17" s="469"/>
      <c r="AV17" s="469"/>
      <c r="AW17" s="469"/>
      <c r="AX17" s="469"/>
      <c r="AY17" s="469"/>
      <c r="AZ17" s="469"/>
      <c r="BA17" s="469"/>
      <c r="BB17" s="469"/>
      <c r="BC17" s="469"/>
      <c r="BD17" s="469"/>
      <c r="BE17" s="469"/>
      <c r="BF17" s="469"/>
      <c r="BG17" s="469"/>
      <c r="BH17" s="469"/>
      <c r="BI17" s="469"/>
      <c r="BJ17" s="469"/>
      <c r="BK17" s="469"/>
      <c r="BL17" s="469"/>
      <c r="BM17" s="469"/>
      <c r="BN17" s="469"/>
      <c r="BO17" s="469"/>
      <c r="BP17" s="469"/>
      <c r="BQ17" s="469"/>
      <c r="BR17" s="469"/>
      <c r="BS17" s="469"/>
      <c r="BT17" s="469"/>
      <c r="BU17" s="469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 s="469"/>
      <c r="FS17" s="469"/>
      <c r="FT17" s="469"/>
      <c r="FU17" s="469"/>
      <c r="FV17" s="469"/>
      <c r="FW17" s="469"/>
      <c r="FX17" s="469"/>
      <c r="FY17" s="469"/>
      <c r="FZ17" s="469"/>
      <c r="GA17" s="469"/>
      <c r="GB17" s="469"/>
      <c r="GC17" s="469"/>
      <c r="GD17" s="469"/>
      <c r="GE17" s="469"/>
      <c r="GF17" s="469"/>
      <c r="GG17" s="469"/>
      <c r="GH17" s="469"/>
      <c r="GI17" s="469"/>
      <c r="GJ17" s="469"/>
      <c r="GK17" s="469"/>
      <c r="GL17" s="469"/>
      <c r="GM17" s="469"/>
      <c r="GN17" s="469"/>
      <c r="GO17" s="469"/>
      <c r="GP17" s="469"/>
      <c r="GQ17" s="469"/>
      <c r="GR17" s="469"/>
      <c r="GS17" s="469"/>
      <c r="GT17" s="469"/>
      <c r="GU17" s="469"/>
      <c r="GV17" s="469"/>
      <c r="GW17" s="469"/>
      <c r="GX17" s="469"/>
      <c r="GY17" s="469"/>
      <c r="GZ17" s="469"/>
      <c r="HA17" s="469"/>
      <c r="HB17" s="469"/>
      <c r="HC17" s="469"/>
      <c r="HD17" s="469"/>
      <c r="HE17" s="469"/>
      <c r="HF17" s="469"/>
      <c r="HG17" s="469"/>
      <c r="HH17" s="469"/>
      <c r="HI17" s="469"/>
      <c r="HJ17" s="469"/>
      <c r="HK17" s="469"/>
      <c r="HL17" s="469"/>
      <c r="HM17" s="469"/>
      <c r="HN17" s="469"/>
      <c r="HO17" s="469"/>
      <c r="HP17" s="469"/>
      <c r="HQ17" s="469"/>
    </row>
    <row r="18" spans="1:225" ht="14.4" x14ac:dyDescent="0.3">
      <c r="A18" s="155" t="s">
        <v>449</v>
      </c>
      <c r="B18" s="472">
        <v>9.6430000000000007</v>
      </c>
      <c r="C18" s="496">
        <f t="shared" si="9"/>
        <v>19.158785663196376</v>
      </c>
      <c r="D18" s="472">
        <v>12.034000000000001</v>
      </c>
      <c r="E18" s="496">
        <f t="shared" si="9"/>
        <v>21.194828983056819</v>
      </c>
      <c r="F18" s="472">
        <v>12.099</v>
      </c>
      <c r="G18" s="496">
        <f t="shared" ref="G18" si="12">IF(F$21&lt;&gt;0,F18*100/F$21,"-")</f>
        <v>15.402143748249612</v>
      </c>
      <c r="H18" s="471">
        <f t="shared" si="2"/>
        <v>100.54013628053848</v>
      </c>
      <c r="I18" s="469"/>
      <c r="J18" s="469"/>
      <c r="K18" s="469"/>
      <c r="L18" s="469"/>
      <c r="M18" s="469"/>
      <c r="N18" s="469"/>
      <c r="O18" s="469"/>
      <c r="P18" s="469"/>
      <c r="Q18" s="469"/>
      <c r="R18" s="469"/>
      <c r="S18" s="469"/>
      <c r="T18" s="469"/>
      <c r="U18" s="469"/>
      <c r="V18" s="469"/>
      <c r="W18" s="469"/>
      <c r="X18" s="469"/>
      <c r="Y18" s="469"/>
      <c r="Z18" s="469"/>
      <c r="AA18" s="469"/>
      <c r="AB18" s="469"/>
      <c r="AC18" s="469"/>
      <c r="AD18" s="469"/>
      <c r="AE18" s="469"/>
      <c r="AF18" s="469"/>
      <c r="AG18" s="469"/>
      <c r="AH18" s="469"/>
      <c r="AI18" s="469"/>
      <c r="AJ18" s="469"/>
      <c r="AK18" s="469"/>
      <c r="AL18" s="469"/>
      <c r="AM18" s="469"/>
      <c r="AN18" s="469"/>
      <c r="AO18" s="469"/>
      <c r="AP18" s="469"/>
      <c r="AQ18" s="469"/>
      <c r="AR18" s="469"/>
      <c r="AS18" s="469"/>
      <c r="AT18" s="469"/>
      <c r="AU18" s="469"/>
      <c r="AV18" s="469"/>
      <c r="AW18" s="469"/>
      <c r="AX18" s="469"/>
      <c r="AY18" s="469"/>
      <c r="AZ18" s="469"/>
      <c r="BA18" s="469"/>
      <c r="BB18" s="469"/>
      <c r="BC18" s="469"/>
      <c r="BD18" s="469"/>
      <c r="BE18" s="469"/>
      <c r="BF18" s="469"/>
      <c r="BG18" s="469"/>
      <c r="BH18" s="469"/>
      <c r="BI18" s="469"/>
      <c r="BJ18" s="469"/>
      <c r="BK18" s="469"/>
      <c r="BL18" s="469"/>
      <c r="BM18" s="469"/>
      <c r="BN18" s="469"/>
      <c r="BO18" s="469"/>
      <c r="BP18" s="469"/>
      <c r="BQ18" s="469"/>
      <c r="BR18" s="469"/>
      <c r="BS18" s="469"/>
      <c r="BT18" s="469"/>
      <c r="BU18" s="469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 s="469"/>
      <c r="FS18" s="469"/>
      <c r="FT18" s="469"/>
      <c r="FU18" s="469"/>
      <c r="FV18" s="469"/>
      <c r="FW18" s="469"/>
      <c r="FX18" s="469"/>
      <c r="FY18" s="469"/>
      <c r="FZ18" s="469"/>
      <c r="GA18" s="469"/>
      <c r="GB18" s="469"/>
      <c r="GC18" s="469"/>
      <c r="GD18" s="469"/>
      <c r="GE18" s="469"/>
      <c r="GF18" s="469"/>
      <c r="GG18" s="469"/>
      <c r="GH18" s="469"/>
      <c r="GI18" s="469"/>
      <c r="GJ18" s="469"/>
      <c r="GK18" s="469"/>
      <c r="GL18" s="469"/>
      <c r="GM18" s="469"/>
      <c r="GN18" s="469"/>
      <c r="GO18" s="469"/>
      <c r="GP18" s="469"/>
      <c r="GQ18" s="469"/>
      <c r="GR18" s="469"/>
      <c r="GS18" s="469"/>
      <c r="GT18" s="469"/>
      <c r="GU18" s="469"/>
      <c r="GV18" s="469"/>
      <c r="GW18" s="469"/>
      <c r="GX18" s="469"/>
      <c r="GY18" s="469"/>
      <c r="GZ18" s="469"/>
      <c r="HA18" s="469"/>
      <c r="HB18" s="469"/>
      <c r="HC18" s="469"/>
      <c r="HD18" s="469"/>
      <c r="HE18" s="469"/>
      <c r="HF18" s="469"/>
      <c r="HG18" s="469"/>
      <c r="HH18" s="469"/>
      <c r="HI18" s="469"/>
      <c r="HJ18" s="469"/>
      <c r="HK18" s="469"/>
      <c r="HL18" s="469"/>
      <c r="HM18" s="469"/>
      <c r="HN18" s="469"/>
      <c r="HO18" s="469"/>
      <c r="HP18" s="469"/>
      <c r="HQ18" s="469"/>
    </row>
    <row r="19" spans="1:225" ht="14.4" x14ac:dyDescent="0.3">
      <c r="A19" s="155" t="s">
        <v>450</v>
      </c>
      <c r="B19" s="472">
        <v>1.978</v>
      </c>
      <c r="C19" s="496">
        <f t="shared" si="9"/>
        <v>3.9299054279583565</v>
      </c>
      <c r="D19" s="472">
        <v>3.4740000000000002</v>
      </c>
      <c r="E19" s="496">
        <f t="shared" si="9"/>
        <v>6.1185670506181982</v>
      </c>
      <c r="F19" s="472">
        <v>4.8680000000000003</v>
      </c>
      <c r="G19" s="496">
        <f t="shared" ref="G19" si="13">IF(F$21&lt;&gt;0,F19*100/F$21,"-")</f>
        <v>6.1970109733431782</v>
      </c>
      <c r="H19" s="471">
        <f t="shared" si="2"/>
        <v>140.12665515256188</v>
      </c>
      <c r="I19" s="473"/>
      <c r="J19" s="469"/>
      <c r="K19" s="469"/>
      <c r="L19" s="469"/>
      <c r="M19" s="469"/>
      <c r="N19" s="469"/>
      <c r="O19" s="469"/>
      <c r="P19" s="469"/>
      <c r="Q19" s="469"/>
      <c r="R19" s="469"/>
      <c r="S19" s="469"/>
      <c r="T19" s="469"/>
      <c r="U19" s="469"/>
      <c r="V19" s="469"/>
      <c r="W19" s="469"/>
      <c r="X19" s="469"/>
      <c r="Y19" s="469"/>
      <c r="Z19" s="469"/>
      <c r="AA19" s="469"/>
      <c r="AB19" s="469"/>
      <c r="AC19" s="469"/>
      <c r="AD19" s="469"/>
      <c r="AE19" s="469"/>
      <c r="AF19" s="469"/>
      <c r="AG19" s="469"/>
      <c r="AH19" s="469"/>
      <c r="AI19" s="469"/>
      <c r="AJ19" s="469"/>
      <c r="AK19" s="469"/>
      <c r="AL19" s="469"/>
      <c r="AM19" s="469"/>
      <c r="AN19" s="469"/>
      <c r="AO19" s="469"/>
      <c r="AP19" s="469"/>
      <c r="AQ19" s="469"/>
      <c r="AR19" s="469"/>
      <c r="AS19" s="469"/>
      <c r="AT19" s="469"/>
      <c r="AU19" s="469"/>
      <c r="AV19" s="469"/>
      <c r="AW19" s="469"/>
      <c r="AX19" s="469"/>
      <c r="AY19" s="469"/>
      <c r="AZ19" s="469"/>
      <c r="BA19" s="469"/>
      <c r="BB19" s="469"/>
      <c r="BC19" s="469"/>
      <c r="BD19" s="469"/>
      <c r="BE19" s="469"/>
      <c r="BF19" s="469"/>
      <c r="BG19" s="469"/>
      <c r="BH19" s="469"/>
      <c r="BI19" s="469"/>
      <c r="BJ19" s="469"/>
      <c r="BK19" s="469"/>
      <c r="BL19" s="469"/>
      <c r="BM19" s="469"/>
      <c r="BN19" s="469"/>
      <c r="BO19" s="469"/>
      <c r="BP19" s="469"/>
      <c r="BQ19" s="469"/>
      <c r="BR19" s="469"/>
      <c r="BS19" s="469"/>
      <c r="BT19" s="469"/>
      <c r="BU19" s="46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 s="469"/>
      <c r="FS19" s="469"/>
      <c r="FT19" s="469"/>
      <c r="FU19" s="469"/>
      <c r="FV19" s="469"/>
      <c r="FW19" s="469"/>
      <c r="FX19" s="469"/>
      <c r="FY19" s="469"/>
      <c r="FZ19" s="469"/>
      <c r="GA19" s="469"/>
      <c r="GB19" s="469"/>
      <c r="GC19" s="469"/>
      <c r="GD19" s="469"/>
      <c r="GE19" s="469"/>
      <c r="GF19" s="469"/>
      <c r="GG19" s="469"/>
      <c r="GH19" s="469"/>
      <c r="GI19" s="469"/>
      <c r="GJ19" s="469"/>
      <c r="GK19" s="469"/>
      <c r="GL19" s="469"/>
      <c r="GM19" s="469"/>
      <c r="GN19" s="469"/>
      <c r="GO19" s="469"/>
      <c r="GP19" s="469"/>
      <c r="GQ19" s="469"/>
      <c r="GR19" s="469"/>
      <c r="GS19" s="469"/>
      <c r="GT19" s="469"/>
      <c r="GU19" s="469"/>
      <c r="GV19" s="469"/>
      <c r="GW19" s="469"/>
      <c r="GX19" s="469"/>
      <c r="GY19" s="469"/>
      <c r="GZ19" s="469"/>
      <c r="HA19" s="469"/>
      <c r="HB19" s="469"/>
      <c r="HC19" s="469"/>
      <c r="HD19" s="469"/>
      <c r="HE19" s="469"/>
      <c r="HF19" s="469"/>
      <c r="HG19" s="469"/>
      <c r="HH19" s="469"/>
      <c r="HI19" s="469"/>
      <c r="HJ19" s="469"/>
      <c r="HK19" s="469"/>
      <c r="HL19" s="469"/>
      <c r="HM19" s="469"/>
      <c r="HN19" s="469"/>
      <c r="HO19" s="469"/>
      <c r="HP19" s="469"/>
      <c r="HQ19" s="469"/>
    </row>
    <row r="20" spans="1:225" ht="14.4" x14ac:dyDescent="0.3">
      <c r="A20" s="155" t="s">
        <v>451</v>
      </c>
      <c r="B20" s="472">
        <v>5.649</v>
      </c>
      <c r="C20" s="496">
        <f t="shared" si="9"/>
        <v>11.223476118572677</v>
      </c>
      <c r="D20" s="472">
        <v>2.105</v>
      </c>
      <c r="E20" s="496">
        <f t="shared" si="9"/>
        <v>3.7074218887597308</v>
      </c>
      <c r="F20" s="472">
        <v>1.9239999999999999</v>
      </c>
      <c r="G20" s="496">
        <f t="shared" ref="G20" si="14">IF(F$21&lt;&gt;0,F20*100/F$21,"-")</f>
        <v>2.4492705654708864</v>
      </c>
      <c r="H20" s="471">
        <f t="shared" si="2"/>
        <v>91.401425178147278</v>
      </c>
      <c r="I20" s="469"/>
      <c r="J20" s="469"/>
      <c r="K20" s="469"/>
      <c r="L20" s="469"/>
      <c r="M20" s="469"/>
      <c r="N20" s="469"/>
      <c r="O20" s="469"/>
      <c r="P20" s="469"/>
      <c r="Q20" s="469"/>
      <c r="R20" s="469"/>
      <c r="S20" s="469"/>
      <c r="T20" s="469"/>
      <c r="U20" s="469"/>
      <c r="V20" s="469"/>
      <c r="W20" s="469"/>
      <c r="X20" s="469"/>
      <c r="Y20" s="469"/>
      <c r="Z20" s="469"/>
      <c r="AA20" s="469"/>
      <c r="AB20" s="469"/>
      <c r="AC20" s="469"/>
      <c r="AD20" s="469"/>
      <c r="AE20" s="469"/>
      <c r="AF20" s="469"/>
      <c r="AG20" s="469"/>
      <c r="AH20" s="469"/>
      <c r="AI20" s="469"/>
      <c r="AJ20" s="469"/>
      <c r="AK20" s="469"/>
      <c r="AL20" s="469"/>
      <c r="AM20" s="469"/>
      <c r="AN20" s="469"/>
      <c r="AO20" s="469"/>
      <c r="AP20" s="469"/>
      <c r="AQ20" s="469"/>
      <c r="AR20" s="469"/>
      <c r="AS20" s="469"/>
      <c r="AT20" s="469"/>
      <c r="AU20" s="469"/>
      <c r="AV20" s="469"/>
      <c r="AW20" s="469"/>
      <c r="AX20" s="469"/>
      <c r="AY20" s="469"/>
      <c r="AZ20" s="469"/>
      <c r="BA20" s="469"/>
      <c r="BB20" s="469"/>
      <c r="BC20" s="469"/>
      <c r="BD20" s="469"/>
      <c r="BE20" s="469"/>
      <c r="BF20" s="469"/>
      <c r="BG20" s="469"/>
      <c r="BH20" s="469"/>
      <c r="BI20" s="469"/>
      <c r="BJ20" s="469"/>
      <c r="BK20" s="469"/>
      <c r="BL20" s="469"/>
      <c r="BM20" s="469"/>
      <c r="BN20" s="469"/>
      <c r="BO20" s="469"/>
      <c r="BP20" s="469"/>
      <c r="BQ20" s="469"/>
      <c r="BR20" s="469"/>
      <c r="BS20" s="469"/>
      <c r="BT20" s="469"/>
      <c r="BU20" s="469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 s="469"/>
      <c r="FS20" s="469"/>
      <c r="FT20" s="469"/>
      <c r="FU20" s="469"/>
      <c r="FV20" s="469"/>
      <c r="FW20" s="469"/>
      <c r="FX20" s="469"/>
      <c r="FY20" s="469"/>
      <c r="FZ20" s="469"/>
      <c r="GA20" s="469"/>
      <c r="GB20" s="469"/>
      <c r="GC20" s="469"/>
      <c r="GD20" s="469"/>
      <c r="GE20" s="469"/>
      <c r="GF20" s="469"/>
      <c r="GG20" s="469"/>
      <c r="GH20" s="469"/>
      <c r="GI20" s="469"/>
      <c r="GJ20" s="469"/>
      <c r="GK20" s="469"/>
      <c r="GL20" s="469"/>
      <c r="GM20" s="469"/>
      <c r="GN20" s="469"/>
      <c r="GO20" s="469"/>
      <c r="GP20" s="469"/>
      <c r="GQ20" s="469"/>
      <c r="GR20" s="469"/>
      <c r="GS20" s="469"/>
      <c r="GT20" s="469"/>
      <c r="GU20" s="469"/>
      <c r="GV20" s="469"/>
      <c r="GW20" s="469"/>
      <c r="GX20" s="469"/>
      <c r="GY20" s="469"/>
      <c r="GZ20" s="469"/>
      <c r="HA20" s="469"/>
      <c r="HB20" s="469"/>
      <c r="HC20" s="469"/>
      <c r="HD20" s="469"/>
      <c r="HE20" s="469"/>
      <c r="HF20" s="469"/>
      <c r="HG20" s="469"/>
      <c r="HH20" s="469"/>
      <c r="HI20" s="469"/>
      <c r="HJ20" s="469"/>
      <c r="HK20" s="469"/>
      <c r="HL20" s="469"/>
      <c r="HM20" s="469"/>
      <c r="HN20" s="469"/>
      <c r="HO20" s="469"/>
      <c r="HP20" s="469"/>
      <c r="HQ20" s="469"/>
    </row>
    <row r="21" spans="1:225" ht="14.4" x14ac:dyDescent="0.3">
      <c r="A21" s="474" t="s">
        <v>452</v>
      </c>
      <c r="B21" s="475">
        <f t="shared" ref="B21:G21" si="15">SUM(B15:B20)</f>
        <v>50.332000000000001</v>
      </c>
      <c r="C21" s="497">
        <f t="shared" si="15"/>
        <v>99.999999999999986</v>
      </c>
      <c r="D21" s="475">
        <f t="shared" si="15"/>
        <v>56.777999999999999</v>
      </c>
      <c r="E21" s="497">
        <f t="shared" si="15"/>
        <v>100</v>
      </c>
      <c r="F21" s="475">
        <f t="shared" si="15"/>
        <v>78.554000000000002</v>
      </c>
      <c r="G21" s="497">
        <f t="shared" si="15"/>
        <v>99.999999999999986</v>
      </c>
      <c r="H21" s="471">
        <f t="shared" si="2"/>
        <v>138.35288315897003</v>
      </c>
      <c r="I21" s="476"/>
      <c r="J21" s="469"/>
      <c r="K21" s="469"/>
      <c r="L21" s="469"/>
      <c r="M21" s="469"/>
      <c r="N21" s="469"/>
      <c r="O21" s="469"/>
      <c r="P21" s="469"/>
      <c r="Q21" s="469"/>
      <c r="R21" s="469"/>
      <c r="S21" s="469"/>
      <c r="T21" s="469"/>
      <c r="U21" s="469"/>
      <c r="V21" s="469"/>
      <c r="W21" s="469"/>
      <c r="X21" s="469"/>
      <c r="Y21" s="469"/>
      <c r="Z21" s="469"/>
      <c r="AA21" s="469"/>
      <c r="AB21" s="469"/>
      <c r="AC21" s="469"/>
      <c r="AD21" s="469"/>
      <c r="AE21" s="469"/>
      <c r="AF21" s="469"/>
      <c r="AG21" s="469"/>
      <c r="AH21" s="469"/>
      <c r="AI21" s="469"/>
      <c r="AJ21" s="469"/>
      <c r="AK21" s="469"/>
      <c r="AL21" s="469"/>
      <c r="AM21" s="469"/>
      <c r="AN21" s="469"/>
      <c r="AO21" s="469"/>
      <c r="AP21" s="469"/>
      <c r="AQ21" s="469"/>
      <c r="AR21" s="469"/>
      <c r="AS21" s="469"/>
      <c r="AT21" s="469"/>
      <c r="AU21" s="469"/>
      <c r="AV21" s="469"/>
      <c r="AW21" s="469"/>
      <c r="AX21" s="469"/>
      <c r="AY21" s="469"/>
      <c r="AZ21" s="469"/>
      <c r="BA21" s="469"/>
      <c r="BB21" s="469"/>
      <c r="BC21" s="469"/>
      <c r="BD21" s="469"/>
      <c r="BE21" s="469"/>
      <c r="BF21" s="469"/>
      <c r="BG21" s="469"/>
      <c r="BH21" s="469"/>
      <c r="BI21" s="469"/>
      <c r="BJ21" s="469"/>
      <c r="BK21" s="469"/>
      <c r="BL21" s="469"/>
      <c r="BM21" s="469"/>
      <c r="BN21" s="469"/>
      <c r="BO21" s="469"/>
      <c r="BP21" s="469"/>
      <c r="BQ21" s="469"/>
      <c r="BR21" s="469"/>
      <c r="BS21" s="469"/>
      <c r="BT21" s="469"/>
      <c r="BU21" s="469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 s="469"/>
      <c r="FS21" s="469"/>
      <c r="FT21" s="469"/>
      <c r="FU21" s="469"/>
      <c r="FV21" s="469"/>
      <c r="FW21" s="469"/>
      <c r="FX21" s="469"/>
      <c r="FY21" s="469"/>
      <c r="FZ21" s="469"/>
      <c r="GA21" s="469"/>
      <c r="GB21" s="469"/>
      <c r="GC21" s="469"/>
      <c r="GD21" s="469"/>
      <c r="GE21" s="469"/>
      <c r="GF21" s="469"/>
      <c r="GG21" s="469"/>
      <c r="GH21" s="469"/>
      <c r="GI21" s="469"/>
      <c r="GJ21" s="469"/>
      <c r="GK21" s="469"/>
      <c r="GL21" s="469"/>
      <c r="GM21" s="469"/>
      <c r="GN21" s="469"/>
      <c r="GO21" s="469"/>
      <c r="GP21" s="469"/>
      <c r="GQ21" s="469"/>
      <c r="GR21" s="469"/>
      <c r="GS21" s="469"/>
      <c r="GT21" s="469"/>
      <c r="GU21" s="469"/>
      <c r="GV21" s="469"/>
      <c r="GW21" s="469"/>
      <c r="GX21" s="469"/>
      <c r="GY21" s="469"/>
      <c r="GZ21" s="469"/>
      <c r="HA21" s="469"/>
      <c r="HB21" s="469"/>
      <c r="HC21" s="469"/>
      <c r="HD21" s="469"/>
      <c r="HE21" s="469"/>
      <c r="HF21" s="469"/>
      <c r="HG21" s="469"/>
      <c r="HH21" s="469"/>
      <c r="HI21" s="469"/>
      <c r="HJ21" s="469"/>
      <c r="HK21" s="469"/>
      <c r="HL21" s="469"/>
      <c r="HM21" s="469"/>
      <c r="HN21" s="469"/>
      <c r="HO21" s="469"/>
      <c r="HP21" s="469"/>
      <c r="HQ21" s="469"/>
    </row>
    <row r="22" spans="1:225" ht="14.4" x14ac:dyDescent="0.3">
      <c r="A22" s="474" t="s">
        <v>453</v>
      </c>
      <c r="B22" s="475">
        <f>+B13-B21</f>
        <v>279.22399999999999</v>
      </c>
      <c r="C22" s="499"/>
      <c r="D22" s="475">
        <f>+D13-D21</f>
        <v>352.65200000000004</v>
      </c>
      <c r="E22" s="499"/>
      <c r="F22" s="475">
        <f>+F13-F21</f>
        <v>389.50299999999993</v>
      </c>
      <c r="G22" s="499"/>
      <c r="H22" s="471">
        <f t="shared" si="2"/>
        <v>110.44967843653231</v>
      </c>
      <c r="I22" s="476"/>
      <c r="J22" s="469"/>
      <c r="K22" s="469"/>
      <c r="L22" s="469"/>
      <c r="M22" s="469"/>
      <c r="N22" s="469"/>
      <c r="O22" s="469"/>
      <c r="P22" s="469"/>
      <c r="Q22" s="469"/>
      <c r="R22" s="469"/>
      <c r="S22" s="469"/>
      <c r="T22" s="469"/>
      <c r="U22" s="469"/>
      <c r="V22" s="469"/>
      <c r="W22" s="469"/>
      <c r="X22" s="469"/>
      <c r="Y22" s="469"/>
      <c r="Z22" s="469"/>
      <c r="AA22" s="469"/>
      <c r="AB22" s="469"/>
      <c r="AC22" s="469"/>
      <c r="AD22" s="469"/>
      <c r="AE22" s="469"/>
      <c r="AF22" s="469"/>
      <c r="AG22" s="469"/>
      <c r="AH22" s="469"/>
      <c r="AI22" s="469"/>
      <c r="AJ22" s="469"/>
      <c r="AK22" s="469"/>
      <c r="AL22" s="469"/>
      <c r="AM22" s="469"/>
      <c r="AN22" s="469"/>
      <c r="AO22" s="469"/>
      <c r="AP22" s="469"/>
      <c r="AQ22" s="469"/>
      <c r="AR22" s="469"/>
      <c r="AS22" s="469"/>
      <c r="AT22" s="469"/>
      <c r="AU22" s="469"/>
      <c r="AV22" s="469"/>
      <c r="AW22" s="469"/>
      <c r="AX22" s="469"/>
      <c r="AY22" s="469"/>
      <c r="AZ22" s="469"/>
      <c r="BA22" s="469"/>
      <c r="BB22" s="469"/>
      <c r="BC22" s="469"/>
      <c r="BD22" s="469"/>
      <c r="BE22" s="469"/>
      <c r="BF22" s="469"/>
      <c r="BG22" s="469"/>
      <c r="BH22" s="469"/>
      <c r="BI22" s="469"/>
      <c r="BJ22" s="469"/>
      <c r="BK22" s="469"/>
      <c r="BL22" s="469"/>
      <c r="BM22" s="469"/>
      <c r="BN22" s="469"/>
      <c r="BO22" s="469"/>
      <c r="BP22" s="469"/>
      <c r="BQ22" s="469"/>
      <c r="BR22" s="469"/>
      <c r="BS22" s="469"/>
      <c r="BT22" s="469"/>
      <c r="BU22" s="469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 s="469"/>
      <c r="FS22" s="469"/>
      <c r="FT22" s="469"/>
      <c r="FU22" s="469"/>
      <c r="FV22" s="469"/>
      <c r="FW22" s="469"/>
      <c r="FX22" s="469"/>
      <c r="FY22" s="469"/>
      <c r="FZ22" s="469"/>
      <c r="GA22" s="469"/>
      <c r="GB22" s="469"/>
      <c r="GC22" s="469"/>
      <c r="GD22" s="469"/>
      <c r="GE22" s="469"/>
      <c r="GF22" s="469"/>
      <c r="GG22" s="469"/>
      <c r="GH22" s="469"/>
      <c r="GI22" s="469"/>
      <c r="GJ22" s="469"/>
      <c r="GK22" s="469"/>
      <c r="GL22" s="469"/>
      <c r="GM22" s="469"/>
      <c r="GN22" s="469"/>
      <c r="GO22" s="469"/>
      <c r="GP22" s="469"/>
      <c r="GQ22" s="469"/>
      <c r="GR22" s="469"/>
      <c r="GS22" s="469"/>
      <c r="GT22" s="469"/>
      <c r="GU22" s="469"/>
      <c r="GV22" s="469"/>
      <c r="GW22" s="469"/>
      <c r="GX22" s="469"/>
      <c r="GY22" s="469"/>
      <c r="GZ22" s="469"/>
      <c r="HA22" s="469"/>
      <c r="HB22" s="469"/>
      <c r="HC22" s="469"/>
      <c r="HD22" s="469"/>
      <c r="HE22" s="469"/>
      <c r="HF22" s="469"/>
      <c r="HG22" s="469"/>
      <c r="HH22" s="469"/>
      <c r="HI22" s="469"/>
      <c r="HJ22" s="469"/>
      <c r="HK22" s="469"/>
      <c r="HL22" s="469"/>
      <c r="HM22" s="469"/>
      <c r="HN22" s="469"/>
      <c r="HO22" s="469"/>
      <c r="HP22" s="469"/>
      <c r="HQ22" s="469"/>
    </row>
    <row r="23" spans="1:225" ht="14.4" x14ac:dyDescent="0.3">
      <c r="A23" s="474" t="s">
        <v>454</v>
      </c>
      <c r="B23" s="472"/>
      <c r="C23" s="498"/>
      <c r="D23" s="472"/>
      <c r="E23" s="498"/>
      <c r="F23" s="472"/>
      <c r="G23" s="498"/>
      <c r="H23" s="471" t="str">
        <f t="shared" si="2"/>
        <v>-</v>
      </c>
      <c r="I23" s="469"/>
      <c r="J23" s="469"/>
      <c r="K23" s="469"/>
      <c r="L23" s="469"/>
      <c r="M23" s="469"/>
      <c r="N23" s="469"/>
      <c r="O23" s="469"/>
      <c r="P23" s="469"/>
      <c r="Q23" s="469"/>
      <c r="R23" s="469"/>
      <c r="S23" s="469"/>
      <c r="T23" s="469"/>
      <c r="U23" s="469"/>
      <c r="V23" s="469"/>
      <c r="W23" s="469"/>
      <c r="X23" s="469"/>
      <c r="Y23" s="469"/>
      <c r="Z23" s="469"/>
      <c r="AA23" s="469"/>
      <c r="AB23" s="469"/>
      <c r="AC23" s="469"/>
      <c r="AD23" s="469"/>
      <c r="AE23" s="469"/>
      <c r="AF23" s="469"/>
      <c r="AG23" s="469"/>
      <c r="AH23" s="469"/>
      <c r="AI23" s="469"/>
      <c r="AJ23" s="469"/>
      <c r="AK23" s="469"/>
      <c r="AL23" s="469"/>
      <c r="AM23" s="469"/>
      <c r="AN23" s="469"/>
      <c r="AO23" s="469"/>
      <c r="AP23" s="469"/>
      <c r="AQ23" s="469"/>
      <c r="AR23" s="469"/>
      <c r="AS23" s="469"/>
      <c r="AT23" s="469"/>
      <c r="AU23" s="469"/>
      <c r="AV23" s="469"/>
      <c r="AW23" s="469"/>
      <c r="AX23" s="469"/>
      <c r="AY23" s="469"/>
      <c r="AZ23" s="469"/>
      <c r="BA23" s="469"/>
      <c r="BB23" s="469"/>
      <c r="BC23" s="469"/>
      <c r="BD23" s="469"/>
      <c r="BE23" s="469"/>
      <c r="BF23" s="469"/>
      <c r="BG23" s="469"/>
      <c r="BH23" s="469"/>
      <c r="BI23" s="469"/>
      <c r="BJ23" s="469"/>
      <c r="BK23" s="469"/>
      <c r="BL23" s="469"/>
      <c r="BM23" s="469"/>
      <c r="BN23" s="469"/>
      <c r="BO23" s="469"/>
      <c r="BP23" s="469"/>
      <c r="BQ23" s="469"/>
      <c r="BR23" s="469"/>
      <c r="BS23" s="469"/>
      <c r="BT23" s="469"/>
      <c r="BU23" s="469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 s="469"/>
      <c r="FS23" s="469"/>
      <c r="FT23" s="469"/>
      <c r="FU23" s="469"/>
      <c r="FV23" s="469"/>
      <c r="FW23" s="469"/>
      <c r="FX23" s="469"/>
      <c r="FY23" s="469"/>
      <c r="FZ23" s="469"/>
      <c r="GA23" s="469"/>
      <c r="GB23" s="469"/>
      <c r="GC23" s="469"/>
      <c r="GD23" s="469"/>
      <c r="GE23" s="469"/>
      <c r="GF23" s="469"/>
      <c r="GG23" s="469"/>
      <c r="GH23" s="469"/>
      <c r="GI23" s="469"/>
      <c r="GJ23" s="469"/>
      <c r="GK23" s="469"/>
      <c r="GL23" s="469"/>
      <c r="GM23" s="469"/>
      <c r="GN23" s="469"/>
      <c r="GO23" s="469"/>
      <c r="GP23" s="469"/>
      <c r="GQ23" s="469"/>
      <c r="GR23" s="469"/>
      <c r="GS23" s="469"/>
      <c r="GT23" s="469"/>
      <c r="GU23" s="469"/>
      <c r="GV23" s="469"/>
      <c r="GW23" s="469"/>
      <c r="GX23" s="469"/>
      <c r="GY23" s="469"/>
      <c r="GZ23" s="469"/>
      <c r="HA23" s="469"/>
      <c r="HB23" s="469"/>
      <c r="HC23" s="469"/>
      <c r="HD23" s="469"/>
      <c r="HE23" s="469"/>
      <c r="HF23" s="469"/>
      <c r="HG23" s="469"/>
      <c r="HH23" s="469"/>
      <c r="HI23" s="469"/>
      <c r="HJ23" s="469"/>
      <c r="HK23" s="469"/>
      <c r="HL23" s="469"/>
      <c r="HM23" s="469"/>
      <c r="HN23" s="469"/>
      <c r="HO23" s="469"/>
      <c r="HP23" s="469"/>
      <c r="HQ23" s="469"/>
    </row>
    <row r="24" spans="1:225" ht="14.4" x14ac:dyDescent="0.3">
      <c r="A24" s="155" t="s">
        <v>455</v>
      </c>
      <c r="B24" s="472">
        <v>22.709</v>
      </c>
      <c r="C24" s="496">
        <f>IF(B$30&lt;&gt;0,B24*100/B$30,"-")</f>
        <v>10.340745058217635</v>
      </c>
      <c r="D24" s="472">
        <v>21.890999999999998</v>
      </c>
      <c r="E24" s="496">
        <f>IF(D$30&lt;&gt;0,D24*100/D$30,"-")</f>
        <v>9.0926838183373881</v>
      </c>
      <c r="F24" s="472">
        <v>22.841000000000001</v>
      </c>
      <c r="G24" s="496">
        <f>IF(F$30&lt;&gt;0,F24*100/F$30,"-")</f>
        <v>8.2708100983473596</v>
      </c>
      <c r="H24" s="471">
        <f t="shared" si="2"/>
        <v>104.33968297473848</v>
      </c>
      <c r="I24" s="469"/>
      <c r="J24" s="469"/>
      <c r="K24" s="469"/>
      <c r="L24" s="469"/>
      <c r="M24" s="469"/>
      <c r="N24" s="469"/>
      <c r="O24" s="469"/>
      <c r="P24" s="469"/>
      <c r="Q24" s="469"/>
      <c r="R24" s="469"/>
      <c r="S24" s="469"/>
      <c r="T24" s="469"/>
      <c r="U24" s="469"/>
      <c r="V24" s="469"/>
      <c r="W24" s="469"/>
      <c r="X24" s="469"/>
      <c r="Y24" s="469"/>
      <c r="Z24" s="469"/>
      <c r="AA24" s="469"/>
      <c r="AB24" s="469"/>
      <c r="AC24" s="469"/>
      <c r="AD24" s="469"/>
      <c r="AE24" s="469"/>
      <c r="AF24" s="469"/>
      <c r="AG24" s="469"/>
      <c r="AH24" s="469"/>
      <c r="AI24" s="469"/>
      <c r="AJ24" s="469"/>
      <c r="AK24" s="469"/>
      <c r="AL24" s="469"/>
      <c r="AM24" s="469"/>
      <c r="AN24" s="469"/>
      <c r="AO24" s="469"/>
      <c r="AP24" s="469"/>
      <c r="AQ24" s="469"/>
      <c r="AR24" s="469"/>
      <c r="AS24" s="469"/>
      <c r="AT24" s="469"/>
      <c r="AU24" s="469"/>
      <c r="AV24" s="469"/>
      <c r="AW24" s="469"/>
      <c r="AX24" s="469"/>
      <c r="AY24" s="469"/>
      <c r="AZ24" s="469"/>
      <c r="BA24" s="469"/>
      <c r="BB24" s="469"/>
      <c r="BC24" s="469"/>
      <c r="BD24" s="469"/>
      <c r="BE24" s="469"/>
      <c r="BF24" s="469"/>
      <c r="BG24" s="469"/>
      <c r="BH24" s="469"/>
      <c r="BI24" s="469"/>
      <c r="BJ24" s="469"/>
      <c r="BK24" s="469"/>
      <c r="BL24" s="469"/>
      <c r="BM24" s="469"/>
      <c r="BN24" s="469"/>
      <c r="BO24" s="469"/>
      <c r="BP24" s="469"/>
      <c r="BQ24" s="469"/>
      <c r="BR24" s="469"/>
      <c r="BS24" s="469"/>
      <c r="BT24" s="469"/>
      <c r="BU24" s="469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 s="469"/>
      <c r="FS24" s="469"/>
      <c r="FT24" s="469"/>
      <c r="FU24" s="469"/>
      <c r="FV24" s="469"/>
      <c r="FW24" s="469"/>
      <c r="FX24" s="469"/>
      <c r="FY24" s="469"/>
      <c r="FZ24" s="469"/>
      <c r="GA24" s="469"/>
      <c r="GB24" s="469"/>
      <c r="GC24" s="469"/>
      <c r="GD24" s="469"/>
      <c r="GE24" s="469"/>
      <c r="GF24" s="469"/>
      <c r="GG24" s="469"/>
      <c r="GH24" s="469"/>
      <c r="GI24" s="469"/>
      <c r="GJ24" s="469"/>
      <c r="GK24" s="469"/>
      <c r="GL24" s="469"/>
      <c r="GM24" s="469"/>
      <c r="GN24" s="469"/>
      <c r="GO24" s="469"/>
      <c r="GP24" s="469"/>
      <c r="GQ24" s="469"/>
      <c r="GR24" s="469"/>
      <c r="GS24" s="469"/>
      <c r="GT24" s="469"/>
      <c r="GU24" s="469"/>
      <c r="GV24" s="469"/>
      <c r="GW24" s="469"/>
      <c r="GX24" s="469"/>
      <c r="GY24" s="469"/>
      <c r="GZ24" s="469"/>
      <c r="HA24" s="469"/>
      <c r="HB24" s="469"/>
      <c r="HC24" s="469"/>
      <c r="HD24" s="469"/>
      <c r="HE24" s="469"/>
      <c r="HF24" s="469"/>
      <c r="HG24" s="469"/>
      <c r="HH24" s="469"/>
      <c r="HI24" s="469"/>
      <c r="HJ24" s="469"/>
      <c r="HK24" s="469"/>
      <c r="HL24" s="469"/>
      <c r="HM24" s="469"/>
      <c r="HN24" s="469"/>
      <c r="HO24" s="469"/>
      <c r="HP24" s="469"/>
      <c r="HQ24" s="469"/>
    </row>
    <row r="25" spans="1:225" ht="14.4" x14ac:dyDescent="0.3">
      <c r="A25" s="155" t="s">
        <v>456</v>
      </c>
      <c r="B25" s="472">
        <v>5.3650000000000002</v>
      </c>
      <c r="C25" s="496">
        <f t="shared" ref="C25:E29" si="16">IF(B$30&lt;&gt;0,B25*100/B$30,"-")</f>
        <v>2.443000450805302</v>
      </c>
      <c r="D25" s="472">
        <v>4.718</v>
      </c>
      <c r="E25" s="496">
        <f t="shared" si="16"/>
        <v>1.9596766824227219</v>
      </c>
      <c r="F25" s="472">
        <v>5.44</v>
      </c>
      <c r="G25" s="496">
        <f t="shared" ref="G25" si="17">IF(F$30&lt;&gt;0,F25*100/F$30,"-")</f>
        <v>1.9698440057357223</v>
      </c>
      <c r="H25" s="471">
        <f t="shared" si="2"/>
        <v>115.30309453158118</v>
      </c>
      <c r="I25" s="469"/>
      <c r="J25" s="469"/>
      <c r="K25" s="469"/>
      <c r="L25" s="469"/>
      <c r="M25" s="469"/>
      <c r="N25" s="469"/>
      <c r="O25" s="469"/>
      <c r="P25" s="469"/>
      <c r="Q25" s="469"/>
      <c r="R25" s="469"/>
      <c r="S25" s="469"/>
      <c r="T25" s="469"/>
      <c r="U25" s="469"/>
      <c r="V25" s="469"/>
      <c r="W25" s="469"/>
      <c r="X25" s="469"/>
      <c r="Y25" s="469"/>
      <c r="Z25" s="469"/>
      <c r="AA25" s="469"/>
      <c r="AB25" s="469"/>
      <c r="AC25" s="469"/>
      <c r="AD25" s="469"/>
      <c r="AE25" s="469"/>
      <c r="AF25" s="469"/>
      <c r="AG25" s="469"/>
      <c r="AH25" s="469"/>
      <c r="AI25" s="469"/>
      <c r="AJ25" s="469"/>
      <c r="AK25" s="469"/>
      <c r="AL25" s="469"/>
      <c r="AM25" s="469"/>
      <c r="AN25" s="469"/>
      <c r="AO25" s="469"/>
      <c r="AP25" s="469"/>
      <c r="AQ25" s="469"/>
      <c r="AR25" s="469"/>
      <c r="AS25" s="469"/>
      <c r="AT25" s="469"/>
      <c r="AU25" s="469"/>
      <c r="AV25" s="469"/>
      <c r="AW25" s="469"/>
      <c r="AX25" s="469"/>
      <c r="AY25" s="469"/>
      <c r="AZ25" s="469"/>
      <c r="BA25" s="469"/>
      <c r="BB25" s="469"/>
      <c r="BC25" s="469"/>
      <c r="BD25" s="469"/>
      <c r="BE25" s="469"/>
      <c r="BF25" s="469"/>
      <c r="BG25" s="469"/>
      <c r="BH25" s="469"/>
      <c r="BI25" s="469"/>
      <c r="BJ25" s="469"/>
      <c r="BK25" s="469"/>
      <c r="BL25" s="469"/>
      <c r="BM25" s="469"/>
      <c r="BN25" s="469"/>
      <c r="BO25" s="469"/>
      <c r="BP25" s="469"/>
      <c r="BQ25" s="469"/>
      <c r="BR25" s="469"/>
      <c r="BS25" s="469"/>
      <c r="BT25" s="469"/>
      <c r="BU25" s="469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 s="469"/>
      <c r="FS25" s="469"/>
      <c r="FT25" s="469"/>
      <c r="FU25" s="469"/>
      <c r="FV25" s="469"/>
      <c r="FW25" s="469"/>
      <c r="FX25" s="469"/>
      <c r="FY25" s="469"/>
      <c r="FZ25" s="469"/>
      <c r="GA25" s="469"/>
      <c r="GB25" s="469"/>
      <c r="GC25" s="469"/>
      <c r="GD25" s="469"/>
      <c r="GE25" s="469"/>
      <c r="GF25" s="469"/>
      <c r="GG25" s="469"/>
      <c r="GH25" s="469"/>
      <c r="GI25" s="469"/>
      <c r="GJ25" s="469"/>
      <c r="GK25" s="469"/>
      <c r="GL25" s="469"/>
      <c r="GM25" s="469"/>
      <c r="GN25" s="469"/>
      <c r="GO25" s="469"/>
      <c r="GP25" s="469"/>
      <c r="GQ25" s="469"/>
      <c r="GR25" s="469"/>
      <c r="GS25" s="469"/>
      <c r="GT25" s="469"/>
      <c r="GU25" s="469"/>
      <c r="GV25" s="469"/>
      <c r="GW25" s="469"/>
      <c r="GX25" s="469"/>
      <c r="GY25" s="469"/>
      <c r="GZ25" s="469"/>
      <c r="HA25" s="469"/>
      <c r="HB25" s="469"/>
      <c r="HC25" s="469"/>
      <c r="HD25" s="469"/>
      <c r="HE25" s="469"/>
      <c r="HF25" s="469"/>
      <c r="HG25" s="469"/>
      <c r="HH25" s="469"/>
      <c r="HI25" s="469"/>
      <c r="HJ25" s="469"/>
      <c r="HK25" s="469"/>
      <c r="HL25" s="469"/>
      <c r="HM25" s="469"/>
      <c r="HN25" s="469"/>
      <c r="HO25" s="469"/>
      <c r="HP25" s="469"/>
      <c r="HQ25" s="469"/>
    </row>
    <row r="26" spans="1:225" ht="14.4" x14ac:dyDescent="0.3">
      <c r="A26" s="155" t="s">
        <v>457</v>
      </c>
      <c r="B26" s="472">
        <v>11.167999999999999</v>
      </c>
      <c r="C26" s="496">
        <f t="shared" si="16"/>
        <v>5.0854480959167967</v>
      </c>
      <c r="D26" s="472">
        <v>12.593999999999999</v>
      </c>
      <c r="E26" s="496">
        <f t="shared" si="16"/>
        <v>5.2310657351487402</v>
      </c>
      <c r="F26" s="472">
        <v>13.116</v>
      </c>
      <c r="G26" s="496">
        <f t="shared" ref="G26" si="18">IF(F$30&lt;&gt;0,F26*100/F$30,"-")</f>
        <v>4.7493518344172303</v>
      </c>
      <c r="H26" s="471">
        <f t="shared" si="2"/>
        <v>104.14483087184374</v>
      </c>
      <c r="I26" s="473"/>
      <c r="J26" s="469"/>
      <c r="K26" s="469"/>
      <c r="L26" s="469"/>
      <c r="M26" s="469"/>
      <c r="N26" s="469"/>
      <c r="O26" s="469"/>
      <c r="P26" s="469"/>
      <c r="Q26" s="469"/>
      <c r="R26" s="469"/>
      <c r="S26" s="469"/>
      <c r="T26" s="469"/>
      <c r="U26" s="469"/>
      <c r="V26" s="469"/>
      <c r="W26" s="469"/>
      <c r="X26" s="469"/>
      <c r="Y26" s="469"/>
      <c r="Z26" s="469"/>
      <c r="AA26" s="469"/>
      <c r="AB26" s="469"/>
      <c r="AC26" s="469"/>
      <c r="AD26" s="469"/>
      <c r="AE26" s="469"/>
      <c r="AF26" s="469"/>
      <c r="AG26" s="469"/>
      <c r="AH26" s="469"/>
      <c r="AI26" s="469"/>
      <c r="AJ26" s="469"/>
      <c r="AK26" s="469"/>
      <c r="AL26" s="469"/>
      <c r="AM26" s="469"/>
      <c r="AN26" s="469"/>
      <c r="AO26" s="469"/>
      <c r="AP26" s="469"/>
      <c r="AQ26" s="469"/>
      <c r="AR26" s="469"/>
      <c r="AS26" s="469"/>
      <c r="AT26" s="469"/>
      <c r="AU26" s="469"/>
      <c r="AV26" s="469"/>
      <c r="AW26" s="469"/>
      <c r="AX26" s="469"/>
      <c r="AY26" s="469"/>
      <c r="AZ26" s="469"/>
      <c r="BA26" s="469"/>
      <c r="BB26" s="469"/>
      <c r="BC26" s="469"/>
      <c r="BD26" s="469"/>
      <c r="BE26" s="469"/>
      <c r="BF26" s="469"/>
      <c r="BG26" s="469"/>
      <c r="BH26" s="469"/>
      <c r="BI26" s="469"/>
      <c r="BJ26" s="469"/>
      <c r="BK26" s="469"/>
      <c r="BL26" s="469"/>
      <c r="BM26" s="469"/>
      <c r="BN26" s="469"/>
      <c r="BO26" s="469"/>
      <c r="BP26" s="469"/>
      <c r="BQ26" s="469"/>
      <c r="BR26" s="469"/>
      <c r="BS26" s="469"/>
      <c r="BT26" s="469"/>
      <c r="BU26" s="469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 s="469"/>
      <c r="FS26" s="469"/>
      <c r="FT26" s="469"/>
      <c r="FU26" s="469"/>
      <c r="FV26" s="469"/>
      <c r="FW26" s="469"/>
      <c r="FX26" s="469"/>
      <c r="FY26" s="469"/>
      <c r="FZ26" s="469"/>
      <c r="GA26" s="469"/>
      <c r="GB26" s="469"/>
      <c r="GC26" s="469"/>
      <c r="GD26" s="469"/>
      <c r="GE26" s="469"/>
      <c r="GF26" s="469"/>
      <c r="GG26" s="469"/>
      <c r="GH26" s="469"/>
      <c r="GI26" s="469"/>
      <c r="GJ26" s="469"/>
      <c r="GK26" s="469"/>
      <c r="GL26" s="469"/>
      <c r="GM26" s="469"/>
      <c r="GN26" s="469"/>
      <c r="GO26" s="469"/>
      <c r="GP26" s="469"/>
      <c r="GQ26" s="469"/>
      <c r="GR26" s="469"/>
      <c r="GS26" s="469"/>
      <c r="GT26" s="469"/>
      <c r="GU26" s="469"/>
      <c r="GV26" s="469"/>
      <c r="GW26" s="469"/>
      <c r="GX26" s="469"/>
      <c r="GY26" s="469"/>
      <c r="GZ26" s="469"/>
      <c r="HA26" s="469"/>
      <c r="HB26" s="469"/>
      <c r="HC26" s="469"/>
      <c r="HD26" s="469"/>
      <c r="HE26" s="469"/>
      <c r="HF26" s="469"/>
      <c r="HG26" s="469"/>
      <c r="HH26" s="469"/>
      <c r="HI26" s="469"/>
      <c r="HJ26" s="469"/>
      <c r="HK26" s="469"/>
      <c r="HL26" s="469"/>
      <c r="HM26" s="469"/>
      <c r="HN26" s="469"/>
      <c r="HO26" s="469"/>
      <c r="HP26" s="469"/>
      <c r="HQ26" s="469"/>
    </row>
    <row r="27" spans="1:225" ht="14.4" x14ac:dyDescent="0.3">
      <c r="A27" s="155" t="s">
        <v>458</v>
      </c>
      <c r="B27" s="472">
        <v>147.98400000000001</v>
      </c>
      <c r="C27" s="496">
        <f t="shared" si="16"/>
        <v>67.38583014202645</v>
      </c>
      <c r="D27" s="472">
        <v>165.49100000000001</v>
      </c>
      <c r="E27" s="496">
        <f t="shared" si="16"/>
        <v>68.738629472407524</v>
      </c>
      <c r="F27" s="472">
        <v>183.44</v>
      </c>
      <c r="G27" s="496">
        <f t="shared" ref="G27" si="19">IF(F$30&lt;&gt;0,F27*100/F$30,"-")</f>
        <v>66.424298605176631</v>
      </c>
      <c r="H27" s="471">
        <f t="shared" si="2"/>
        <v>110.84590702817675</v>
      </c>
      <c r="I27" s="469"/>
      <c r="J27" s="469"/>
      <c r="K27" s="469"/>
      <c r="L27" s="469"/>
      <c r="M27" s="469"/>
      <c r="N27" s="469"/>
      <c r="O27" s="469"/>
      <c r="P27" s="469"/>
      <c r="Q27" s="469"/>
      <c r="R27" s="469"/>
      <c r="S27" s="469"/>
      <c r="T27" s="469"/>
      <c r="U27" s="469"/>
      <c r="V27" s="469"/>
      <c r="W27" s="469"/>
      <c r="X27" s="469"/>
      <c r="Y27" s="469"/>
      <c r="Z27" s="469"/>
      <c r="AA27" s="469"/>
      <c r="AB27" s="469"/>
      <c r="AC27" s="469"/>
      <c r="AD27" s="469"/>
      <c r="AE27" s="469"/>
      <c r="AF27" s="469"/>
      <c r="AG27" s="469"/>
      <c r="AH27" s="469"/>
      <c r="AI27" s="469"/>
      <c r="AJ27" s="469"/>
      <c r="AK27" s="469"/>
      <c r="AL27" s="469"/>
      <c r="AM27" s="469"/>
      <c r="AN27" s="469"/>
      <c r="AO27" s="469"/>
      <c r="AP27" s="469"/>
      <c r="AQ27" s="469"/>
      <c r="AR27" s="469"/>
      <c r="AS27" s="469"/>
      <c r="AT27" s="469"/>
      <c r="AU27" s="469"/>
      <c r="AV27" s="469"/>
      <c r="AW27" s="469"/>
      <c r="AX27" s="469"/>
      <c r="AY27" s="469"/>
      <c r="AZ27" s="469"/>
      <c r="BA27" s="469"/>
      <c r="BB27" s="469"/>
      <c r="BC27" s="469"/>
      <c r="BD27" s="469"/>
      <c r="BE27" s="469"/>
      <c r="BF27" s="469"/>
      <c r="BG27" s="469"/>
      <c r="BH27" s="469"/>
      <c r="BI27" s="469"/>
      <c r="BJ27" s="469"/>
      <c r="BK27" s="469"/>
      <c r="BL27" s="469"/>
      <c r="BM27" s="469"/>
      <c r="BN27" s="469"/>
      <c r="BO27" s="469"/>
      <c r="BP27" s="469"/>
      <c r="BQ27" s="469"/>
      <c r="BR27" s="469"/>
      <c r="BS27" s="469"/>
      <c r="BT27" s="469"/>
      <c r="BU27" s="469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 s="469"/>
      <c r="FS27" s="469"/>
      <c r="FT27" s="469"/>
      <c r="FU27" s="469"/>
      <c r="FV27" s="469"/>
      <c r="FW27" s="469"/>
      <c r="FX27" s="469"/>
      <c r="FY27" s="469"/>
      <c r="FZ27" s="469"/>
      <c r="GA27" s="469"/>
      <c r="GB27" s="469"/>
      <c r="GC27" s="469"/>
      <c r="GD27" s="469"/>
      <c r="GE27" s="469"/>
      <c r="GF27" s="469"/>
      <c r="GG27" s="469"/>
      <c r="GH27" s="469"/>
      <c r="GI27" s="469"/>
      <c r="GJ27" s="469"/>
      <c r="GK27" s="469"/>
      <c r="GL27" s="469"/>
      <c r="GM27" s="469"/>
      <c r="GN27" s="469"/>
      <c r="GO27" s="469"/>
      <c r="GP27" s="469"/>
      <c r="GQ27" s="469"/>
      <c r="GR27" s="469"/>
      <c r="GS27" s="469"/>
      <c r="GT27" s="469"/>
      <c r="GU27" s="469"/>
      <c r="GV27" s="469"/>
      <c r="GW27" s="469"/>
      <c r="GX27" s="469"/>
      <c r="GY27" s="469"/>
      <c r="GZ27" s="469"/>
      <c r="HA27" s="469"/>
      <c r="HB27" s="469"/>
      <c r="HC27" s="469"/>
      <c r="HD27" s="469"/>
      <c r="HE27" s="469"/>
      <c r="HF27" s="469"/>
      <c r="HG27" s="469"/>
      <c r="HH27" s="469"/>
      <c r="HI27" s="469"/>
      <c r="HJ27" s="469"/>
      <c r="HK27" s="469"/>
      <c r="HL27" s="469"/>
      <c r="HM27" s="469"/>
      <c r="HN27" s="469"/>
      <c r="HO27" s="469"/>
      <c r="HP27" s="469"/>
      <c r="HQ27" s="469"/>
    </row>
    <row r="28" spans="1:225" ht="14.4" x14ac:dyDescent="0.3">
      <c r="A28" s="155" t="s">
        <v>459</v>
      </c>
      <c r="B28" s="472">
        <v>0.26200000000000001</v>
      </c>
      <c r="C28" s="496">
        <f t="shared" si="16"/>
        <v>0.11930402947082745</v>
      </c>
      <c r="D28" s="472">
        <v>0.28599999999999998</v>
      </c>
      <c r="E28" s="496">
        <f t="shared" si="16"/>
        <v>0.11879345722189454</v>
      </c>
      <c r="F28" s="472">
        <v>0.17799999999999999</v>
      </c>
      <c r="G28" s="496">
        <f t="shared" ref="G28" si="20">IF(F$30&lt;&gt;0,F28*100/F$30,"-")</f>
        <v>6.4454454599440922E-2</v>
      </c>
      <c r="H28" s="471">
        <f t="shared" si="2"/>
        <v>62.237762237762247</v>
      </c>
      <c r="I28" s="473"/>
      <c r="J28" s="469"/>
      <c r="K28" s="469"/>
      <c r="L28" s="469"/>
      <c r="M28" s="469"/>
      <c r="N28" s="469"/>
      <c r="O28" s="469"/>
      <c r="P28" s="469"/>
      <c r="Q28" s="469"/>
      <c r="R28" s="469"/>
      <c r="S28" s="469"/>
      <c r="T28" s="469"/>
      <c r="U28" s="469"/>
      <c r="V28" s="469"/>
      <c r="W28" s="469"/>
      <c r="X28" s="469"/>
      <c r="Y28" s="469"/>
      <c r="Z28" s="469"/>
      <c r="AA28" s="469"/>
      <c r="AB28" s="469"/>
      <c r="AC28" s="469"/>
      <c r="AD28" s="469"/>
      <c r="AE28" s="469"/>
      <c r="AF28" s="469"/>
      <c r="AG28" s="469"/>
      <c r="AH28" s="469"/>
      <c r="AI28" s="469"/>
      <c r="AJ28" s="469"/>
      <c r="AK28" s="469"/>
      <c r="AL28" s="469"/>
      <c r="AM28" s="469"/>
      <c r="AN28" s="469"/>
      <c r="AO28" s="469"/>
      <c r="AP28" s="469"/>
      <c r="AQ28" s="469"/>
      <c r="AR28" s="469"/>
      <c r="AS28" s="469"/>
      <c r="AT28" s="469"/>
      <c r="AU28" s="469"/>
      <c r="AV28" s="469"/>
      <c r="AW28" s="469"/>
      <c r="AX28" s="469"/>
      <c r="AY28" s="469"/>
      <c r="AZ28" s="469"/>
      <c r="BA28" s="469"/>
      <c r="BB28" s="469"/>
      <c r="BC28" s="469"/>
      <c r="BD28" s="469"/>
      <c r="BE28" s="469"/>
      <c r="BF28" s="469"/>
      <c r="BG28" s="469"/>
      <c r="BH28" s="469"/>
      <c r="BI28" s="469"/>
      <c r="BJ28" s="469"/>
      <c r="BK28" s="469"/>
      <c r="BL28" s="469"/>
      <c r="BM28" s="469"/>
      <c r="BN28" s="469"/>
      <c r="BO28" s="469"/>
      <c r="BP28" s="469"/>
      <c r="BQ28" s="469"/>
      <c r="BR28" s="469"/>
      <c r="BS28" s="469"/>
      <c r="BT28" s="469"/>
      <c r="BU28" s="469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 s="469"/>
      <c r="FS28" s="469"/>
      <c r="FT28" s="469"/>
      <c r="FU28" s="469"/>
      <c r="FV28" s="469"/>
      <c r="FW28" s="469"/>
      <c r="FX28" s="469"/>
      <c r="FY28" s="469"/>
      <c r="FZ28" s="469"/>
      <c r="GA28" s="469"/>
      <c r="GB28" s="469"/>
      <c r="GC28" s="469"/>
      <c r="GD28" s="469"/>
      <c r="GE28" s="469"/>
      <c r="GF28" s="469"/>
      <c r="GG28" s="469"/>
      <c r="GH28" s="469"/>
      <c r="GI28" s="469"/>
      <c r="GJ28" s="469"/>
      <c r="GK28" s="469"/>
      <c r="GL28" s="469"/>
      <c r="GM28" s="469"/>
      <c r="GN28" s="469"/>
      <c r="GO28" s="469"/>
      <c r="GP28" s="469"/>
      <c r="GQ28" s="469"/>
      <c r="GR28" s="469"/>
      <c r="GS28" s="469"/>
      <c r="GT28" s="469"/>
      <c r="GU28" s="469"/>
      <c r="GV28" s="469"/>
      <c r="GW28" s="469"/>
      <c r="GX28" s="469"/>
      <c r="GY28" s="469"/>
      <c r="GZ28" s="469"/>
      <c r="HA28" s="469"/>
      <c r="HB28" s="469"/>
      <c r="HC28" s="469"/>
      <c r="HD28" s="469"/>
      <c r="HE28" s="469"/>
      <c r="HF28" s="469"/>
      <c r="HG28" s="469"/>
      <c r="HH28" s="469"/>
      <c r="HI28" s="469"/>
      <c r="HJ28" s="469"/>
      <c r="HK28" s="469"/>
      <c r="HL28" s="469"/>
      <c r="HM28" s="469"/>
      <c r="HN28" s="469"/>
      <c r="HO28" s="469"/>
      <c r="HP28" s="469"/>
      <c r="HQ28" s="469"/>
    </row>
    <row r="29" spans="1:225" ht="14.4" x14ac:dyDescent="0.3">
      <c r="A29" s="155" t="s">
        <v>460</v>
      </c>
      <c r="B29" s="472">
        <v>32.119</v>
      </c>
      <c r="C29" s="496">
        <f t="shared" si="16"/>
        <v>14.625672223563001</v>
      </c>
      <c r="D29" s="472">
        <v>35.774000000000001</v>
      </c>
      <c r="E29" s="496">
        <f t="shared" si="16"/>
        <v>14.859150834461731</v>
      </c>
      <c r="F29" s="472">
        <v>51.149000000000001</v>
      </c>
      <c r="G29" s="496">
        <f t="shared" ref="G29" si="21">IF(F$30&lt;&gt;0,F29*100/F$30,"-")</f>
        <v>18.521241001723613</v>
      </c>
      <c r="H29" s="471">
        <f t="shared" si="2"/>
        <v>142.97814054900206</v>
      </c>
      <c r="I29" s="469"/>
      <c r="J29" s="469"/>
      <c r="K29" s="469"/>
      <c r="L29" s="469"/>
      <c r="M29" s="469"/>
      <c r="N29" s="469"/>
      <c r="O29" s="469"/>
      <c r="P29" s="469"/>
      <c r="Q29" s="469"/>
      <c r="R29" s="469"/>
      <c r="S29" s="469"/>
      <c r="T29" s="469"/>
      <c r="U29" s="469"/>
      <c r="V29" s="469"/>
      <c r="W29" s="469"/>
      <c r="X29" s="469"/>
      <c r="Y29" s="469"/>
      <c r="Z29" s="469"/>
      <c r="AA29" s="469"/>
      <c r="AB29" s="469"/>
      <c r="AC29" s="469"/>
      <c r="AD29" s="469"/>
      <c r="AE29" s="469"/>
      <c r="AF29" s="469"/>
      <c r="AG29" s="469"/>
      <c r="AH29" s="469"/>
      <c r="AI29" s="469"/>
      <c r="AJ29" s="469"/>
      <c r="AK29" s="469"/>
      <c r="AL29" s="469"/>
      <c r="AM29" s="469"/>
      <c r="AN29" s="469"/>
      <c r="AO29" s="469"/>
      <c r="AP29" s="469"/>
      <c r="AQ29" s="469"/>
      <c r="AR29" s="469"/>
      <c r="AS29" s="469"/>
      <c r="AT29" s="469"/>
      <c r="AU29" s="469"/>
      <c r="AV29" s="469"/>
      <c r="AW29" s="469"/>
      <c r="AX29" s="469"/>
      <c r="AY29" s="469"/>
      <c r="AZ29" s="469"/>
      <c r="BA29" s="469"/>
      <c r="BB29" s="469"/>
      <c r="BC29" s="469"/>
      <c r="BD29" s="469"/>
      <c r="BE29" s="469"/>
      <c r="BF29" s="469"/>
      <c r="BG29" s="469"/>
      <c r="BH29" s="469"/>
      <c r="BI29" s="469"/>
      <c r="BJ29" s="469"/>
      <c r="BK29" s="469"/>
      <c r="BL29" s="469"/>
      <c r="BM29" s="469"/>
      <c r="BN29" s="469"/>
      <c r="BO29" s="469"/>
      <c r="BP29" s="469"/>
      <c r="BQ29" s="469"/>
      <c r="BR29" s="469"/>
      <c r="BS29" s="469"/>
      <c r="BT29" s="469"/>
      <c r="BU29" s="46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 s="469"/>
      <c r="FS29" s="469"/>
      <c r="FT29" s="469"/>
      <c r="FU29" s="469"/>
      <c r="FV29" s="469"/>
      <c r="FW29" s="469"/>
      <c r="FX29" s="469"/>
      <c r="FY29" s="469"/>
      <c r="FZ29" s="469"/>
      <c r="GA29" s="469"/>
      <c r="GB29" s="469"/>
      <c r="GC29" s="469"/>
      <c r="GD29" s="469"/>
      <c r="GE29" s="469"/>
      <c r="GF29" s="469"/>
      <c r="GG29" s="469"/>
      <c r="GH29" s="469"/>
      <c r="GI29" s="469"/>
      <c r="GJ29" s="469"/>
      <c r="GK29" s="469"/>
      <c r="GL29" s="469"/>
      <c r="GM29" s="469"/>
      <c r="GN29" s="469"/>
      <c r="GO29" s="469"/>
      <c r="GP29" s="469"/>
      <c r="GQ29" s="469"/>
      <c r="GR29" s="469"/>
      <c r="GS29" s="469"/>
      <c r="GT29" s="469"/>
      <c r="GU29" s="469"/>
      <c r="GV29" s="469"/>
      <c r="GW29" s="469"/>
      <c r="GX29" s="469"/>
      <c r="GY29" s="469"/>
      <c r="GZ29" s="469"/>
      <c r="HA29" s="469"/>
      <c r="HB29" s="469"/>
      <c r="HC29" s="469"/>
      <c r="HD29" s="469"/>
      <c r="HE29" s="469"/>
      <c r="HF29" s="469"/>
      <c r="HG29" s="469"/>
      <c r="HH29" s="469"/>
      <c r="HI29" s="469"/>
      <c r="HJ29" s="469"/>
      <c r="HK29" s="469"/>
      <c r="HL29" s="469"/>
      <c r="HM29" s="469"/>
      <c r="HN29" s="469"/>
      <c r="HO29" s="469"/>
      <c r="HP29" s="469"/>
      <c r="HQ29" s="469"/>
    </row>
    <row r="30" spans="1:225" ht="14.4" x14ac:dyDescent="0.3">
      <c r="A30" s="474" t="s">
        <v>461</v>
      </c>
      <c r="B30" s="475">
        <f t="shared" ref="B30:G30" si="22">SUM(B24:B29)</f>
        <v>219.607</v>
      </c>
      <c r="C30" s="497">
        <f t="shared" si="22"/>
        <v>100.00000000000001</v>
      </c>
      <c r="D30" s="475">
        <f t="shared" si="22"/>
        <v>240.75400000000002</v>
      </c>
      <c r="E30" s="497">
        <f t="shared" si="22"/>
        <v>100</v>
      </c>
      <c r="F30" s="475">
        <f t="shared" si="22"/>
        <v>276.16399999999999</v>
      </c>
      <c r="G30" s="497">
        <f t="shared" si="22"/>
        <v>99.999999999999986</v>
      </c>
      <c r="H30" s="471">
        <f t="shared" si="2"/>
        <v>114.70795916163385</v>
      </c>
      <c r="I30" s="476"/>
      <c r="J30" s="469"/>
      <c r="K30" s="469"/>
      <c r="L30" s="469"/>
      <c r="M30" s="469"/>
      <c r="N30" s="469"/>
      <c r="O30" s="469"/>
      <c r="P30" s="469"/>
      <c r="Q30" s="469"/>
      <c r="R30" s="469"/>
      <c r="S30" s="469"/>
      <c r="T30" s="469"/>
      <c r="U30" s="469"/>
      <c r="V30" s="469"/>
      <c r="W30" s="469"/>
      <c r="X30" s="469"/>
      <c r="Y30" s="469"/>
      <c r="Z30" s="469"/>
      <c r="AA30" s="469"/>
      <c r="AB30" s="469"/>
      <c r="AC30" s="469"/>
      <c r="AD30" s="469"/>
      <c r="AE30" s="469"/>
      <c r="AF30" s="469"/>
      <c r="AG30" s="469"/>
      <c r="AH30" s="469"/>
      <c r="AI30" s="469"/>
      <c r="AJ30" s="469"/>
      <c r="AK30" s="469"/>
      <c r="AL30" s="469"/>
      <c r="AM30" s="469"/>
      <c r="AN30" s="469"/>
      <c r="AO30" s="469"/>
      <c r="AP30" s="469"/>
      <c r="AQ30" s="469"/>
      <c r="AR30" s="469"/>
      <c r="AS30" s="469"/>
      <c r="AT30" s="469"/>
      <c r="AU30" s="469"/>
      <c r="AV30" s="469"/>
      <c r="AW30" s="469"/>
      <c r="AX30" s="469"/>
      <c r="AY30" s="469"/>
      <c r="AZ30" s="469"/>
      <c r="BA30" s="469"/>
      <c r="BB30" s="469"/>
      <c r="BC30" s="469"/>
      <c r="BD30" s="469"/>
      <c r="BE30" s="469"/>
      <c r="BF30" s="469"/>
      <c r="BG30" s="469"/>
      <c r="BH30" s="469"/>
      <c r="BI30" s="469"/>
      <c r="BJ30" s="469"/>
      <c r="BK30" s="469"/>
      <c r="BL30" s="469"/>
      <c r="BM30" s="469"/>
      <c r="BN30" s="469"/>
      <c r="BO30" s="469"/>
      <c r="BP30" s="469"/>
      <c r="BQ30" s="469"/>
      <c r="BR30" s="469"/>
      <c r="BS30" s="469"/>
      <c r="BT30" s="469"/>
      <c r="BU30" s="469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 s="469"/>
      <c r="FS30" s="469"/>
      <c r="FT30" s="469"/>
      <c r="FU30" s="469"/>
      <c r="FV30" s="469"/>
      <c r="FW30" s="469"/>
      <c r="FX30" s="469"/>
      <c r="FY30" s="469"/>
      <c r="FZ30" s="469"/>
      <c r="GA30" s="469"/>
      <c r="GB30" s="469"/>
      <c r="GC30" s="469"/>
      <c r="GD30" s="469"/>
      <c r="GE30" s="469"/>
      <c r="GF30" s="469"/>
      <c r="GG30" s="469"/>
      <c r="GH30" s="469"/>
      <c r="GI30" s="469"/>
      <c r="GJ30" s="469"/>
      <c r="GK30" s="469"/>
      <c r="GL30" s="469"/>
      <c r="GM30" s="469"/>
      <c r="GN30" s="469"/>
      <c r="GO30" s="469"/>
      <c r="GP30" s="469"/>
      <c r="GQ30" s="469"/>
      <c r="GR30" s="469"/>
      <c r="GS30" s="469"/>
      <c r="GT30" s="469"/>
      <c r="GU30" s="469"/>
      <c r="GV30" s="469"/>
      <c r="GW30" s="469"/>
      <c r="GX30" s="469"/>
      <c r="GY30" s="469"/>
      <c r="GZ30" s="469"/>
      <c r="HA30" s="469"/>
      <c r="HB30" s="469"/>
      <c r="HC30" s="469"/>
      <c r="HD30" s="469"/>
      <c r="HE30" s="469"/>
      <c r="HF30" s="469"/>
      <c r="HG30" s="469"/>
      <c r="HH30" s="469"/>
      <c r="HI30" s="469"/>
      <c r="HJ30" s="469"/>
      <c r="HK30" s="469"/>
      <c r="HL30" s="469"/>
      <c r="HM30" s="469"/>
      <c r="HN30" s="469"/>
      <c r="HO30" s="469"/>
      <c r="HP30" s="469"/>
      <c r="HQ30" s="469"/>
    </row>
    <row r="31" spans="1:225" ht="14.4" x14ac:dyDescent="0.3">
      <c r="A31" s="474" t="s">
        <v>462</v>
      </c>
      <c r="B31" s="472"/>
      <c r="C31" s="498"/>
      <c r="D31" s="472"/>
      <c r="E31" s="498"/>
      <c r="F31" s="472"/>
      <c r="G31" s="498"/>
      <c r="H31" s="471" t="str">
        <f t="shared" si="2"/>
        <v>-</v>
      </c>
      <c r="I31" s="469"/>
      <c r="J31" s="469"/>
      <c r="K31" s="469"/>
      <c r="L31" s="469"/>
      <c r="M31" s="469"/>
      <c r="N31" s="469"/>
      <c r="O31" s="469"/>
      <c r="P31" s="469"/>
      <c r="Q31" s="469"/>
      <c r="R31" s="469"/>
      <c r="S31" s="469"/>
      <c r="T31" s="469"/>
      <c r="U31" s="469"/>
      <c r="V31" s="469"/>
      <c r="W31" s="469"/>
      <c r="X31" s="469"/>
      <c r="Y31" s="469"/>
      <c r="Z31" s="469"/>
      <c r="AA31" s="469"/>
      <c r="AB31" s="469"/>
      <c r="AC31" s="469"/>
      <c r="AD31" s="469"/>
      <c r="AE31" s="469"/>
      <c r="AF31" s="469"/>
      <c r="AG31" s="469"/>
      <c r="AH31" s="469"/>
      <c r="AI31" s="469"/>
      <c r="AJ31" s="469"/>
      <c r="AK31" s="469"/>
      <c r="AL31" s="469"/>
      <c r="AM31" s="469"/>
      <c r="AN31" s="469"/>
      <c r="AO31" s="469"/>
      <c r="AP31" s="469"/>
      <c r="AQ31" s="469"/>
      <c r="AR31" s="469"/>
      <c r="AS31" s="469"/>
      <c r="AT31" s="469"/>
      <c r="AU31" s="469"/>
      <c r="AV31" s="469"/>
      <c r="AW31" s="469"/>
      <c r="AX31" s="469"/>
      <c r="AY31" s="469"/>
      <c r="AZ31" s="469"/>
      <c r="BA31" s="469"/>
      <c r="BB31" s="469"/>
      <c r="BC31" s="469"/>
      <c r="BD31" s="469"/>
      <c r="BE31" s="469"/>
      <c r="BF31" s="469"/>
      <c r="BG31" s="469"/>
      <c r="BH31" s="469"/>
      <c r="BI31" s="469"/>
      <c r="BJ31" s="469"/>
      <c r="BK31" s="469"/>
      <c r="BL31" s="469"/>
      <c r="BM31" s="469"/>
      <c r="BN31" s="469"/>
      <c r="BO31" s="469"/>
      <c r="BP31" s="469"/>
      <c r="BQ31" s="469"/>
      <c r="BR31" s="469"/>
      <c r="BS31" s="469"/>
      <c r="BT31" s="469"/>
      <c r="BU31" s="469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 s="469"/>
      <c r="FS31" s="469"/>
      <c r="FT31" s="469"/>
      <c r="FU31" s="469"/>
      <c r="FV31" s="469"/>
      <c r="FW31" s="469"/>
      <c r="FX31" s="469"/>
      <c r="FY31" s="469"/>
      <c r="FZ31" s="469"/>
      <c r="GA31" s="469"/>
      <c r="GB31" s="469"/>
      <c r="GC31" s="469"/>
      <c r="GD31" s="469"/>
      <c r="GE31" s="469"/>
      <c r="GF31" s="469"/>
      <c r="GG31" s="469"/>
      <c r="GH31" s="469"/>
      <c r="GI31" s="469"/>
      <c r="GJ31" s="469"/>
      <c r="GK31" s="469"/>
      <c r="GL31" s="469"/>
      <c r="GM31" s="469"/>
      <c r="GN31" s="469"/>
      <c r="GO31" s="469"/>
      <c r="GP31" s="469"/>
      <c r="GQ31" s="469"/>
      <c r="GR31" s="469"/>
      <c r="GS31" s="469"/>
      <c r="GT31" s="469"/>
      <c r="GU31" s="469"/>
      <c r="GV31" s="469"/>
      <c r="GW31" s="469"/>
      <c r="GX31" s="469"/>
      <c r="GY31" s="469"/>
      <c r="GZ31" s="469"/>
      <c r="HA31" s="469"/>
      <c r="HB31" s="469"/>
      <c r="HC31" s="469"/>
      <c r="HD31" s="469"/>
      <c r="HE31" s="469"/>
      <c r="HF31" s="469"/>
      <c r="HG31" s="469"/>
      <c r="HH31" s="469"/>
      <c r="HI31" s="469"/>
      <c r="HJ31" s="469"/>
      <c r="HK31" s="469"/>
      <c r="HL31" s="469"/>
      <c r="HM31" s="469"/>
      <c r="HN31" s="469"/>
      <c r="HO31" s="469"/>
      <c r="HP31" s="469"/>
      <c r="HQ31" s="469"/>
    </row>
    <row r="32" spans="1:225" ht="14.4" x14ac:dyDescent="0.3">
      <c r="A32" s="155" t="s">
        <v>207</v>
      </c>
      <c r="B32" s="472"/>
      <c r="C32" s="498"/>
      <c r="D32" s="472"/>
      <c r="E32" s="498"/>
      <c r="F32" s="472"/>
      <c r="G32" s="498"/>
      <c r="H32" s="471" t="str">
        <f t="shared" si="2"/>
        <v>-</v>
      </c>
      <c r="I32" s="469"/>
      <c r="J32" s="469"/>
      <c r="K32" s="469"/>
      <c r="L32" s="469"/>
      <c r="M32" s="469"/>
      <c r="N32" s="469"/>
      <c r="O32" s="469"/>
      <c r="P32" s="469"/>
      <c r="Q32" s="469"/>
      <c r="R32" s="469"/>
      <c r="S32" s="469"/>
      <c r="T32" s="469"/>
      <c r="U32" s="469"/>
      <c r="V32" s="469"/>
      <c r="W32" s="469"/>
      <c r="X32" s="469"/>
      <c r="Y32" s="469"/>
      <c r="Z32" s="469"/>
      <c r="AA32" s="469"/>
      <c r="AB32" s="469"/>
      <c r="AC32" s="469"/>
      <c r="AD32" s="469"/>
      <c r="AE32" s="469"/>
      <c r="AF32" s="469"/>
      <c r="AG32" s="469"/>
      <c r="AH32" s="469"/>
      <c r="AI32" s="469"/>
      <c r="AJ32" s="469"/>
      <c r="AK32" s="469"/>
      <c r="AL32" s="469"/>
      <c r="AM32" s="469"/>
      <c r="AN32" s="469"/>
      <c r="AO32" s="469"/>
      <c r="AP32" s="469"/>
      <c r="AQ32" s="469"/>
      <c r="AR32" s="469"/>
      <c r="AS32" s="469"/>
      <c r="AT32" s="469"/>
      <c r="AU32" s="469"/>
      <c r="AV32" s="469"/>
      <c r="AW32" s="469"/>
      <c r="AX32" s="469"/>
      <c r="AY32" s="469"/>
      <c r="AZ32" s="469"/>
      <c r="BA32" s="469"/>
      <c r="BB32" s="469"/>
      <c r="BC32" s="469"/>
      <c r="BD32" s="469"/>
      <c r="BE32" s="469"/>
      <c r="BF32" s="469"/>
      <c r="BG32" s="469"/>
      <c r="BH32" s="469"/>
      <c r="BI32" s="469"/>
      <c r="BJ32" s="469"/>
      <c r="BK32" s="469"/>
      <c r="BL32" s="469"/>
      <c r="BM32" s="469"/>
      <c r="BN32" s="469"/>
      <c r="BO32" s="469"/>
      <c r="BP32" s="469"/>
      <c r="BQ32" s="469"/>
      <c r="BR32" s="469"/>
      <c r="BS32" s="469"/>
      <c r="BT32" s="469"/>
      <c r="BU32" s="469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 s="469"/>
      <c r="FS32" s="469"/>
      <c r="FT32" s="469"/>
      <c r="FU32" s="469"/>
      <c r="FV32" s="469"/>
      <c r="FW32" s="469"/>
      <c r="FX32" s="469"/>
      <c r="FY32" s="469"/>
      <c r="FZ32" s="469"/>
      <c r="GA32" s="469"/>
      <c r="GB32" s="469"/>
      <c r="GC32" s="469"/>
      <c r="GD32" s="469"/>
      <c r="GE32" s="469"/>
      <c r="GF32" s="469"/>
      <c r="GG32" s="469"/>
      <c r="GH32" s="469"/>
      <c r="GI32" s="469"/>
      <c r="GJ32" s="469"/>
      <c r="GK32" s="469"/>
      <c r="GL32" s="469"/>
      <c r="GM32" s="469"/>
      <c r="GN32" s="469"/>
      <c r="GO32" s="469"/>
      <c r="GP32" s="469"/>
      <c r="GQ32" s="469"/>
      <c r="GR32" s="469"/>
      <c r="GS32" s="469"/>
      <c r="GT32" s="469"/>
      <c r="GU32" s="469"/>
      <c r="GV32" s="469"/>
      <c r="GW32" s="469"/>
      <c r="GX32" s="469"/>
      <c r="GY32" s="469"/>
      <c r="GZ32" s="469"/>
      <c r="HA32" s="469"/>
      <c r="HB32" s="469"/>
      <c r="HC32" s="469"/>
      <c r="HD32" s="469"/>
      <c r="HE32" s="469"/>
      <c r="HF32" s="469"/>
      <c r="HG32" s="469"/>
      <c r="HH32" s="469"/>
      <c r="HI32" s="469"/>
      <c r="HJ32" s="469"/>
      <c r="HK32" s="469"/>
      <c r="HL32" s="469"/>
      <c r="HM32" s="469"/>
      <c r="HN32" s="469"/>
      <c r="HO32" s="469"/>
      <c r="HP32" s="469"/>
      <c r="HQ32" s="469"/>
    </row>
    <row r="33" spans="1:225" ht="14.4" x14ac:dyDescent="0.3">
      <c r="A33" s="155" t="s">
        <v>463</v>
      </c>
      <c r="B33" s="472">
        <v>44.819000000000003</v>
      </c>
      <c r="C33" s="498"/>
      <c r="D33" s="472">
        <v>47.103000000000002</v>
      </c>
      <c r="E33" s="498"/>
      <c r="F33" s="472">
        <v>37.725000000000001</v>
      </c>
      <c r="G33" s="498"/>
      <c r="H33" s="471">
        <f t="shared" si="2"/>
        <v>80.090440099356726</v>
      </c>
      <c r="I33" s="469"/>
      <c r="J33" s="469"/>
      <c r="K33" s="469"/>
      <c r="L33" s="469"/>
      <c r="M33" s="469"/>
      <c r="N33" s="469"/>
      <c r="O33" s="469"/>
      <c r="P33" s="469"/>
      <c r="Q33" s="469"/>
      <c r="R33" s="469"/>
      <c r="S33" s="469"/>
      <c r="T33" s="469"/>
      <c r="U33" s="469"/>
      <c r="V33" s="469"/>
      <c r="W33" s="469"/>
      <c r="X33" s="469"/>
      <c r="Y33" s="469"/>
      <c r="Z33" s="469"/>
      <c r="AA33" s="469"/>
      <c r="AB33" s="469"/>
      <c r="AC33" s="469"/>
      <c r="AD33" s="469"/>
      <c r="AE33" s="469"/>
      <c r="AF33" s="469"/>
      <c r="AG33" s="469"/>
      <c r="AH33" s="469"/>
      <c r="AI33" s="469"/>
      <c r="AJ33" s="469"/>
      <c r="AK33" s="469"/>
      <c r="AL33" s="469"/>
      <c r="AM33" s="469"/>
      <c r="AN33" s="469"/>
      <c r="AO33" s="469"/>
      <c r="AP33" s="469"/>
      <c r="AQ33" s="469"/>
      <c r="AR33" s="469"/>
      <c r="AS33" s="469"/>
      <c r="AT33" s="469"/>
      <c r="AU33" s="469"/>
      <c r="AV33" s="469"/>
      <c r="AW33" s="469"/>
      <c r="AX33" s="469"/>
      <c r="AY33" s="469"/>
      <c r="AZ33" s="469"/>
      <c r="BA33" s="469"/>
      <c r="BB33" s="469"/>
      <c r="BC33" s="469"/>
      <c r="BD33" s="469"/>
      <c r="BE33" s="469"/>
      <c r="BF33" s="469"/>
      <c r="BG33" s="469"/>
      <c r="BH33" s="469"/>
      <c r="BI33" s="469"/>
      <c r="BJ33" s="469"/>
      <c r="BK33" s="469"/>
      <c r="BL33" s="469"/>
      <c r="BM33" s="469"/>
      <c r="BN33" s="469"/>
      <c r="BO33" s="469"/>
      <c r="BP33" s="469"/>
      <c r="BQ33" s="469"/>
      <c r="BR33" s="469"/>
      <c r="BS33" s="469"/>
      <c r="BT33" s="469"/>
      <c r="BU33" s="469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 s="469"/>
      <c r="FS33" s="469"/>
      <c r="FT33" s="469"/>
      <c r="FU33" s="469"/>
      <c r="FV33" s="469"/>
      <c r="FW33" s="469"/>
      <c r="FX33" s="469"/>
      <c r="FY33" s="469"/>
      <c r="FZ33" s="469"/>
      <c r="GA33" s="469"/>
      <c r="GB33" s="469"/>
      <c r="GC33" s="469"/>
      <c r="GD33" s="469"/>
      <c r="GE33" s="469"/>
      <c r="GF33" s="469"/>
      <c r="GG33" s="469"/>
      <c r="GH33" s="469"/>
      <c r="GI33" s="469"/>
      <c r="GJ33" s="469"/>
      <c r="GK33" s="469"/>
      <c r="GL33" s="469"/>
      <c r="GM33" s="469"/>
      <c r="GN33" s="469"/>
      <c r="GO33" s="469"/>
      <c r="GP33" s="469"/>
      <c r="GQ33" s="469"/>
      <c r="GR33" s="469"/>
      <c r="GS33" s="469"/>
      <c r="GT33" s="469"/>
      <c r="GU33" s="469"/>
      <c r="GV33" s="469"/>
      <c r="GW33" s="469"/>
      <c r="GX33" s="469"/>
      <c r="GY33" s="469"/>
      <c r="GZ33" s="469"/>
      <c r="HA33" s="469"/>
      <c r="HB33" s="469"/>
      <c r="HC33" s="469"/>
      <c r="HD33" s="469"/>
      <c r="HE33" s="469"/>
      <c r="HF33" s="469"/>
      <c r="HG33" s="469"/>
      <c r="HH33" s="469"/>
      <c r="HI33" s="469"/>
      <c r="HJ33" s="469"/>
      <c r="HK33" s="469"/>
      <c r="HL33" s="469"/>
      <c r="HM33" s="469"/>
      <c r="HN33" s="469"/>
      <c r="HO33" s="469"/>
      <c r="HP33" s="469"/>
      <c r="HQ33" s="469"/>
    </row>
    <row r="34" spans="1:225" ht="14.4" x14ac:dyDescent="0.3">
      <c r="A34" s="155" t="s">
        <v>464</v>
      </c>
      <c r="B34" s="472">
        <v>51.668999999999997</v>
      </c>
      <c r="C34" s="498"/>
      <c r="D34" s="472">
        <v>57.168999999999997</v>
      </c>
      <c r="E34" s="498"/>
      <c r="F34" s="472">
        <v>60.158000000000001</v>
      </c>
      <c r="G34" s="498"/>
      <c r="H34" s="471">
        <f t="shared" si="2"/>
        <v>105.22835802620303</v>
      </c>
      <c r="I34" s="469"/>
      <c r="J34" s="469"/>
      <c r="K34" s="469"/>
      <c r="L34" s="469"/>
      <c r="M34" s="469"/>
      <c r="N34" s="469"/>
      <c r="O34" s="469"/>
      <c r="P34" s="469"/>
      <c r="Q34" s="469"/>
      <c r="R34" s="469"/>
      <c r="S34" s="469"/>
      <c r="T34" s="469"/>
      <c r="U34" s="469"/>
      <c r="V34" s="469"/>
      <c r="W34" s="469"/>
      <c r="X34" s="469"/>
      <c r="Y34" s="469"/>
      <c r="Z34" s="469"/>
      <c r="AA34" s="469"/>
      <c r="AB34" s="469"/>
      <c r="AC34" s="469"/>
      <c r="AD34" s="469"/>
      <c r="AE34" s="469"/>
      <c r="AF34" s="469"/>
      <c r="AG34" s="469"/>
      <c r="AH34" s="469"/>
      <c r="AI34" s="469"/>
      <c r="AJ34" s="469"/>
      <c r="AK34" s="469"/>
      <c r="AL34" s="469"/>
      <c r="AM34" s="469"/>
      <c r="AN34" s="469"/>
      <c r="AO34" s="469"/>
      <c r="AP34" s="469"/>
      <c r="AQ34" s="469"/>
      <c r="AR34" s="469"/>
      <c r="AS34" s="469"/>
      <c r="AT34" s="469"/>
      <c r="AU34" s="469"/>
      <c r="AV34" s="469"/>
      <c r="AW34" s="469"/>
      <c r="AX34" s="469"/>
      <c r="AY34" s="469"/>
      <c r="AZ34" s="469"/>
      <c r="BA34" s="469"/>
      <c r="BB34" s="469"/>
      <c r="BC34" s="469"/>
      <c r="BD34" s="469"/>
      <c r="BE34" s="469"/>
      <c r="BF34" s="469"/>
      <c r="BG34" s="469"/>
      <c r="BH34" s="469"/>
      <c r="BI34" s="469"/>
      <c r="BJ34" s="469"/>
      <c r="BK34" s="469"/>
      <c r="BL34" s="469"/>
      <c r="BM34" s="469"/>
      <c r="BN34" s="469"/>
      <c r="BO34" s="469"/>
      <c r="BP34" s="469"/>
      <c r="BQ34" s="469"/>
      <c r="BR34" s="469"/>
      <c r="BS34" s="469"/>
      <c r="BT34" s="469"/>
      <c r="BU34" s="469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 s="469"/>
      <c r="FS34" s="469"/>
      <c r="FT34" s="469"/>
      <c r="FU34" s="469"/>
      <c r="FV34" s="469"/>
      <c r="FW34" s="469"/>
      <c r="FX34" s="469"/>
      <c r="FY34" s="469"/>
      <c r="FZ34" s="469"/>
      <c r="GA34" s="469"/>
      <c r="GB34" s="469"/>
      <c r="GC34" s="469"/>
      <c r="GD34" s="469"/>
      <c r="GE34" s="469"/>
      <c r="GF34" s="469"/>
      <c r="GG34" s="469"/>
      <c r="GH34" s="469"/>
      <c r="GI34" s="469"/>
      <c r="GJ34" s="469"/>
      <c r="GK34" s="469"/>
      <c r="GL34" s="469"/>
      <c r="GM34" s="469"/>
      <c r="GN34" s="469"/>
      <c r="GO34" s="469"/>
      <c r="GP34" s="469"/>
      <c r="GQ34" s="469"/>
      <c r="GR34" s="469"/>
      <c r="GS34" s="469"/>
      <c r="GT34" s="469"/>
      <c r="GU34" s="469"/>
      <c r="GV34" s="469"/>
      <c r="GW34" s="469"/>
      <c r="GX34" s="469"/>
      <c r="GY34" s="469"/>
      <c r="GZ34" s="469"/>
      <c r="HA34" s="469"/>
      <c r="HB34" s="469"/>
      <c r="HC34" s="469"/>
      <c r="HD34" s="469"/>
      <c r="HE34" s="469"/>
      <c r="HF34" s="469"/>
      <c r="HG34" s="469"/>
      <c r="HH34" s="469"/>
      <c r="HI34" s="469"/>
      <c r="HJ34" s="469"/>
      <c r="HK34" s="469"/>
      <c r="HL34" s="469"/>
      <c r="HM34" s="469"/>
      <c r="HN34" s="469"/>
      <c r="HO34" s="469"/>
      <c r="HP34" s="469"/>
      <c r="HQ34" s="469"/>
    </row>
    <row r="35" spans="1:225" ht="14.4" x14ac:dyDescent="0.3">
      <c r="A35" s="474" t="s">
        <v>465</v>
      </c>
      <c r="B35" s="475">
        <f>+B33+B34</f>
        <v>96.488</v>
      </c>
      <c r="C35" s="499"/>
      <c r="D35" s="475">
        <f>+D33+D34</f>
        <v>104.27199999999999</v>
      </c>
      <c r="E35" s="499"/>
      <c r="F35" s="475">
        <f>+F33+F34</f>
        <v>97.88300000000001</v>
      </c>
      <c r="G35" s="499"/>
      <c r="H35" s="471">
        <f t="shared" si="2"/>
        <v>93.872755869265021</v>
      </c>
      <c r="I35" s="476"/>
      <c r="J35" s="469"/>
      <c r="K35" s="469"/>
      <c r="L35" s="469"/>
      <c r="M35" s="469"/>
      <c r="N35" s="469"/>
      <c r="O35" s="469"/>
      <c r="P35" s="469"/>
      <c r="Q35" s="469"/>
      <c r="R35" s="469"/>
      <c r="S35" s="469"/>
      <c r="T35" s="469"/>
      <c r="U35" s="469"/>
      <c r="V35" s="469"/>
      <c r="W35" s="469"/>
      <c r="X35" s="469"/>
      <c r="Y35" s="469"/>
      <c r="Z35" s="469"/>
      <c r="AA35" s="469"/>
      <c r="AB35" s="469"/>
      <c r="AC35" s="469"/>
      <c r="AD35" s="469"/>
      <c r="AE35" s="469"/>
      <c r="AF35" s="469"/>
      <c r="AG35" s="469"/>
      <c r="AH35" s="469"/>
      <c r="AI35" s="469"/>
      <c r="AJ35" s="469"/>
      <c r="AK35" s="469"/>
      <c r="AL35" s="469"/>
      <c r="AM35" s="469"/>
      <c r="AN35" s="469"/>
      <c r="AO35" s="469"/>
      <c r="AP35" s="469"/>
      <c r="AQ35" s="469"/>
      <c r="AR35" s="469"/>
      <c r="AS35" s="469"/>
      <c r="AT35" s="469"/>
      <c r="AU35" s="469"/>
      <c r="AV35" s="469"/>
      <c r="AW35" s="469"/>
      <c r="AX35" s="469"/>
      <c r="AY35" s="469"/>
      <c r="AZ35" s="469"/>
      <c r="BA35" s="469"/>
      <c r="BB35" s="469"/>
      <c r="BC35" s="469"/>
      <c r="BD35" s="469"/>
      <c r="BE35" s="469"/>
      <c r="BF35" s="469"/>
      <c r="BG35" s="469"/>
      <c r="BH35" s="469"/>
      <c r="BI35" s="469"/>
      <c r="BJ35" s="469"/>
      <c r="BK35" s="469"/>
      <c r="BL35" s="469"/>
      <c r="BM35" s="469"/>
      <c r="BN35" s="469"/>
      <c r="BO35" s="469"/>
      <c r="BP35" s="469"/>
      <c r="BQ35" s="469"/>
      <c r="BR35" s="469"/>
      <c r="BS35" s="469"/>
      <c r="BT35" s="469"/>
      <c r="BU35" s="469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 s="469"/>
      <c r="FS35" s="469"/>
      <c r="FT35" s="469"/>
      <c r="FU35" s="469"/>
      <c r="FV35" s="469"/>
      <c r="FW35" s="469"/>
      <c r="FX35" s="469"/>
      <c r="FY35" s="469"/>
      <c r="FZ35" s="469"/>
      <c r="GA35" s="469"/>
      <c r="GB35" s="469"/>
      <c r="GC35" s="469"/>
      <c r="GD35" s="469"/>
      <c r="GE35" s="469"/>
      <c r="GF35" s="469"/>
      <c r="GG35" s="469"/>
      <c r="GH35" s="469"/>
      <c r="GI35" s="469"/>
      <c r="GJ35" s="469"/>
      <c r="GK35" s="469"/>
      <c r="GL35" s="469"/>
      <c r="GM35" s="469"/>
      <c r="GN35" s="469"/>
      <c r="GO35" s="469"/>
      <c r="GP35" s="469"/>
      <c r="GQ35" s="469"/>
      <c r="GR35" s="469"/>
      <c r="GS35" s="469"/>
      <c r="GT35" s="469"/>
      <c r="GU35" s="469"/>
      <c r="GV35" s="469"/>
      <c r="GW35" s="469"/>
      <c r="GX35" s="469"/>
      <c r="GY35" s="469"/>
      <c r="GZ35" s="469"/>
      <c r="HA35" s="469"/>
      <c r="HB35" s="469"/>
      <c r="HC35" s="469"/>
      <c r="HD35" s="469"/>
      <c r="HE35" s="469"/>
      <c r="HF35" s="469"/>
      <c r="HG35" s="469"/>
      <c r="HH35" s="469"/>
      <c r="HI35" s="469"/>
      <c r="HJ35" s="469"/>
      <c r="HK35" s="469"/>
      <c r="HL35" s="469"/>
      <c r="HM35" s="469"/>
      <c r="HN35" s="469"/>
      <c r="HO35" s="469"/>
      <c r="HP35" s="469"/>
      <c r="HQ35" s="469"/>
    </row>
    <row r="36" spans="1:225" ht="14.4" x14ac:dyDescent="0.3">
      <c r="A36" s="155" t="s">
        <v>208</v>
      </c>
      <c r="B36" s="472"/>
      <c r="C36" s="498"/>
      <c r="D36" s="472"/>
      <c r="E36" s="498"/>
      <c r="F36" s="472"/>
      <c r="G36" s="498"/>
      <c r="H36" s="471" t="str">
        <f t="shared" si="2"/>
        <v>-</v>
      </c>
      <c r="I36" s="469"/>
      <c r="J36" s="469"/>
      <c r="K36" s="469"/>
      <c r="L36" s="469"/>
      <c r="M36" s="469"/>
      <c r="N36" s="469"/>
      <c r="O36" s="469"/>
      <c r="P36" s="469"/>
      <c r="Q36" s="469"/>
      <c r="R36" s="469"/>
      <c r="S36" s="469"/>
      <c r="T36" s="469"/>
      <c r="U36" s="469"/>
      <c r="V36" s="469"/>
      <c r="W36" s="469"/>
      <c r="X36" s="469"/>
      <c r="Y36" s="469"/>
      <c r="Z36" s="469"/>
      <c r="AA36" s="469"/>
      <c r="AB36" s="469"/>
      <c r="AC36" s="469"/>
      <c r="AD36" s="469"/>
      <c r="AE36" s="469"/>
      <c r="AF36" s="469"/>
      <c r="AG36" s="469"/>
      <c r="AH36" s="469"/>
      <c r="AI36" s="469"/>
      <c r="AJ36" s="469"/>
      <c r="AK36" s="469"/>
      <c r="AL36" s="469"/>
      <c r="AM36" s="469"/>
      <c r="AN36" s="469"/>
      <c r="AO36" s="469"/>
      <c r="AP36" s="469"/>
      <c r="AQ36" s="469"/>
      <c r="AR36" s="469"/>
      <c r="AS36" s="469"/>
      <c r="AT36" s="469"/>
      <c r="AU36" s="469"/>
      <c r="AV36" s="469"/>
      <c r="AW36" s="469"/>
      <c r="AX36" s="469"/>
      <c r="AY36" s="469"/>
      <c r="AZ36" s="469"/>
      <c r="BA36" s="469"/>
      <c r="BB36" s="469"/>
      <c r="BC36" s="469"/>
      <c r="BD36" s="469"/>
      <c r="BE36" s="469"/>
      <c r="BF36" s="469"/>
      <c r="BG36" s="469"/>
      <c r="BH36" s="469"/>
      <c r="BI36" s="469"/>
      <c r="BJ36" s="469"/>
      <c r="BK36" s="469"/>
      <c r="BL36" s="469"/>
      <c r="BM36" s="469"/>
      <c r="BN36" s="469"/>
      <c r="BO36" s="469"/>
      <c r="BP36" s="469"/>
      <c r="BQ36" s="469"/>
      <c r="BR36" s="469"/>
      <c r="BS36" s="469"/>
      <c r="BT36" s="469"/>
      <c r="BU36" s="469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 s="469"/>
      <c r="FS36" s="469"/>
      <c r="FT36" s="469"/>
      <c r="FU36" s="469"/>
      <c r="FV36" s="469"/>
      <c r="FW36" s="469"/>
      <c r="FX36" s="469"/>
      <c r="FY36" s="469"/>
      <c r="FZ36" s="469"/>
      <c r="GA36" s="469"/>
      <c r="GB36" s="469"/>
      <c r="GC36" s="469"/>
      <c r="GD36" s="469"/>
      <c r="GE36" s="469"/>
      <c r="GF36" s="469"/>
      <c r="GG36" s="469"/>
      <c r="GH36" s="469"/>
      <c r="GI36" s="469"/>
      <c r="GJ36" s="469"/>
      <c r="GK36" s="469"/>
      <c r="GL36" s="469"/>
      <c r="GM36" s="469"/>
      <c r="GN36" s="469"/>
      <c r="GO36" s="469"/>
      <c r="GP36" s="469"/>
      <c r="GQ36" s="469"/>
      <c r="GR36" s="469"/>
      <c r="GS36" s="469"/>
      <c r="GT36" s="469"/>
      <c r="GU36" s="469"/>
      <c r="GV36" s="469"/>
      <c r="GW36" s="469"/>
      <c r="GX36" s="469"/>
      <c r="GY36" s="469"/>
      <c r="GZ36" s="469"/>
      <c r="HA36" s="469"/>
      <c r="HB36" s="469"/>
      <c r="HC36" s="469"/>
      <c r="HD36" s="469"/>
      <c r="HE36" s="469"/>
      <c r="HF36" s="469"/>
      <c r="HG36" s="469"/>
      <c r="HH36" s="469"/>
      <c r="HI36" s="469"/>
      <c r="HJ36" s="469"/>
      <c r="HK36" s="469"/>
      <c r="HL36" s="469"/>
      <c r="HM36" s="469"/>
      <c r="HN36" s="469"/>
      <c r="HO36" s="469"/>
      <c r="HP36" s="469"/>
      <c r="HQ36" s="469"/>
    </row>
    <row r="37" spans="1:225" ht="14.4" x14ac:dyDescent="0.3">
      <c r="A37" s="155" t="s">
        <v>466</v>
      </c>
      <c r="B37" s="472">
        <v>110.285</v>
      </c>
      <c r="C37" s="498"/>
      <c r="D37" s="472">
        <v>120.209</v>
      </c>
      <c r="E37" s="498"/>
      <c r="F37" s="472">
        <v>137.07</v>
      </c>
      <c r="G37" s="498"/>
      <c r="H37" s="471">
        <f t="shared" si="2"/>
        <v>114.02640401301068</v>
      </c>
      <c r="I37" s="473"/>
      <c r="J37" s="469"/>
      <c r="K37" s="469"/>
      <c r="L37" s="469"/>
      <c r="M37" s="469"/>
      <c r="N37" s="469"/>
      <c r="O37" s="469"/>
      <c r="P37" s="469"/>
      <c r="Q37" s="469"/>
      <c r="R37" s="469"/>
      <c r="S37" s="469"/>
      <c r="T37" s="469"/>
      <c r="U37" s="469"/>
      <c r="V37" s="469"/>
      <c r="W37" s="469"/>
      <c r="X37" s="469"/>
      <c r="Y37" s="469"/>
      <c r="Z37" s="469"/>
      <c r="AA37" s="469"/>
      <c r="AB37" s="469"/>
      <c r="AC37" s="469"/>
      <c r="AD37" s="469"/>
      <c r="AE37" s="469"/>
      <c r="AF37" s="469"/>
      <c r="AG37" s="469"/>
      <c r="AH37" s="469"/>
      <c r="AI37" s="469"/>
      <c r="AJ37" s="469"/>
      <c r="AK37" s="469"/>
      <c r="AL37" s="469"/>
      <c r="AM37" s="469"/>
      <c r="AN37" s="469"/>
      <c r="AO37" s="469"/>
      <c r="AP37" s="469"/>
      <c r="AQ37" s="469"/>
      <c r="AR37" s="469"/>
      <c r="AS37" s="469"/>
      <c r="AT37" s="469"/>
      <c r="AU37" s="469"/>
      <c r="AV37" s="469"/>
      <c r="AW37" s="469"/>
      <c r="AX37" s="469"/>
      <c r="AY37" s="469"/>
      <c r="AZ37" s="469"/>
      <c r="BA37" s="469"/>
      <c r="BB37" s="469"/>
      <c r="BC37" s="469"/>
      <c r="BD37" s="469"/>
      <c r="BE37" s="469"/>
      <c r="BF37" s="469"/>
      <c r="BG37" s="469"/>
      <c r="BH37" s="469"/>
      <c r="BI37" s="469"/>
      <c r="BJ37" s="469"/>
      <c r="BK37" s="469"/>
      <c r="BL37" s="469"/>
      <c r="BM37" s="469"/>
      <c r="BN37" s="469"/>
      <c r="BO37" s="469"/>
      <c r="BP37" s="469"/>
      <c r="BQ37" s="469"/>
      <c r="BR37" s="469"/>
      <c r="BS37" s="469"/>
      <c r="BT37" s="469"/>
      <c r="BU37" s="469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 s="469"/>
      <c r="FS37" s="469"/>
      <c r="FT37" s="469"/>
      <c r="FU37" s="469"/>
      <c r="FV37" s="469"/>
      <c r="FW37" s="469"/>
      <c r="FX37" s="469"/>
      <c r="FY37" s="469"/>
      <c r="FZ37" s="469"/>
      <c r="GA37" s="469"/>
      <c r="GB37" s="469"/>
      <c r="GC37" s="469"/>
      <c r="GD37" s="469"/>
      <c r="GE37" s="469"/>
      <c r="GF37" s="469"/>
      <c r="GG37" s="469"/>
      <c r="GH37" s="469"/>
      <c r="GI37" s="469"/>
      <c r="GJ37" s="469"/>
      <c r="GK37" s="469"/>
      <c r="GL37" s="469"/>
      <c r="GM37" s="469"/>
      <c r="GN37" s="469"/>
      <c r="GO37" s="469"/>
      <c r="GP37" s="469"/>
      <c r="GQ37" s="469"/>
      <c r="GR37" s="469"/>
      <c r="GS37" s="469"/>
      <c r="GT37" s="469"/>
      <c r="GU37" s="469"/>
      <c r="GV37" s="469"/>
      <c r="GW37" s="469"/>
      <c r="GX37" s="469"/>
      <c r="GY37" s="469"/>
      <c r="GZ37" s="469"/>
      <c r="HA37" s="469"/>
      <c r="HB37" s="469"/>
      <c r="HC37" s="469"/>
      <c r="HD37" s="469"/>
      <c r="HE37" s="469"/>
      <c r="HF37" s="469"/>
      <c r="HG37" s="469"/>
      <c r="HH37" s="469"/>
      <c r="HI37" s="469"/>
      <c r="HJ37" s="469"/>
      <c r="HK37" s="469"/>
      <c r="HL37" s="469"/>
      <c r="HM37" s="469"/>
      <c r="HN37" s="469"/>
      <c r="HO37" s="469"/>
      <c r="HP37" s="469"/>
      <c r="HQ37" s="469"/>
    </row>
    <row r="38" spans="1:225" ht="14.4" x14ac:dyDescent="0.3">
      <c r="A38" s="155" t="s">
        <v>467</v>
      </c>
      <c r="B38" s="472">
        <v>72.938000000000002</v>
      </c>
      <c r="C38" s="498"/>
      <c r="D38" s="472">
        <v>73.013999999999996</v>
      </c>
      <c r="E38" s="498"/>
      <c r="F38" s="472">
        <v>77.837999999999994</v>
      </c>
      <c r="G38" s="498"/>
      <c r="H38" s="471">
        <f t="shared" si="2"/>
        <v>106.60695209137972</v>
      </c>
      <c r="I38" s="469"/>
      <c r="J38" s="469"/>
      <c r="K38" s="469"/>
      <c r="L38" s="469"/>
      <c r="M38" s="469"/>
      <c r="N38" s="469"/>
      <c r="O38" s="469"/>
      <c r="P38" s="469"/>
      <c r="Q38" s="469"/>
      <c r="R38" s="469"/>
      <c r="S38" s="469"/>
      <c r="T38" s="469"/>
      <c r="U38" s="469"/>
      <c r="V38" s="469"/>
      <c r="W38" s="469"/>
      <c r="X38" s="469"/>
      <c r="Y38" s="469"/>
      <c r="Z38" s="469"/>
      <c r="AA38" s="469"/>
      <c r="AB38" s="469"/>
      <c r="AC38" s="469"/>
      <c r="AD38" s="469"/>
      <c r="AE38" s="469"/>
      <c r="AF38" s="469"/>
      <c r="AG38" s="469"/>
      <c r="AH38" s="469"/>
      <c r="AI38" s="469"/>
      <c r="AJ38" s="469"/>
      <c r="AK38" s="469"/>
      <c r="AL38" s="469"/>
      <c r="AM38" s="469"/>
      <c r="AN38" s="469"/>
      <c r="AO38" s="469"/>
      <c r="AP38" s="469"/>
      <c r="AQ38" s="469"/>
      <c r="AR38" s="469"/>
      <c r="AS38" s="469"/>
      <c r="AT38" s="469"/>
      <c r="AU38" s="469"/>
      <c r="AV38" s="469"/>
      <c r="AW38" s="469"/>
      <c r="AX38" s="469"/>
      <c r="AY38" s="469"/>
      <c r="AZ38" s="469"/>
      <c r="BA38" s="469"/>
      <c r="BB38" s="469"/>
      <c r="BC38" s="469"/>
      <c r="BD38" s="469"/>
      <c r="BE38" s="469"/>
      <c r="BF38" s="469"/>
      <c r="BG38" s="469"/>
      <c r="BH38" s="469"/>
      <c r="BI38" s="469"/>
      <c r="BJ38" s="469"/>
      <c r="BK38" s="469"/>
      <c r="BL38" s="469"/>
      <c r="BM38" s="469"/>
      <c r="BN38" s="469"/>
      <c r="BO38" s="469"/>
      <c r="BP38" s="469"/>
      <c r="BQ38" s="469"/>
      <c r="BR38" s="469"/>
      <c r="BS38" s="469"/>
      <c r="BT38" s="469"/>
      <c r="BU38" s="469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 s="469"/>
      <c r="FS38" s="469"/>
      <c r="FT38" s="469"/>
      <c r="FU38" s="469"/>
      <c r="FV38" s="469"/>
      <c r="FW38" s="469"/>
      <c r="FX38" s="469"/>
      <c r="FY38" s="469"/>
      <c r="FZ38" s="469"/>
      <c r="GA38" s="469"/>
      <c r="GB38" s="469"/>
      <c r="GC38" s="469"/>
      <c r="GD38" s="469"/>
      <c r="GE38" s="469"/>
      <c r="GF38" s="469"/>
      <c r="GG38" s="469"/>
      <c r="GH38" s="469"/>
      <c r="GI38" s="469"/>
      <c r="GJ38" s="469"/>
      <c r="GK38" s="469"/>
      <c r="GL38" s="469"/>
      <c r="GM38" s="469"/>
      <c r="GN38" s="469"/>
      <c r="GO38" s="469"/>
      <c r="GP38" s="469"/>
      <c r="GQ38" s="469"/>
      <c r="GR38" s="469"/>
      <c r="GS38" s="469"/>
      <c r="GT38" s="469"/>
      <c r="GU38" s="469"/>
      <c r="GV38" s="469"/>
      <c r="GW38" s="469"/>
      <c r="GX38" s="469"/>
      <c r="GY38" s="469"/>
      <c r="GZ38" s="469"/>
      <c r="HA38" s="469"/>
      <c r="HB38" s="469"/>
      <c r="HC38" s="469"/>
      <c r="HD38" s="469"/>
      <c r="HE38" s="469"/>
      <c r="HF38" s="469"/>
      <c r="HG38" s="469"/>
      <c r="HH38" s="469"/>
      <c r="HI38" s="469"/>
      <c r="HJ38" s="469"/>
      <c r="HK38" s="469"/>
      <c r="HL38" s="469"/>
      <c r="HM38" s="469"/>
      <c r="HN38" s="469"/>
      <c r="HO38" s="469"/>
      <c r="HP38" s="469"/>
      <c r="HQ38" s="469"/>
    </row>
    <row r="39" spans="1:225" ht="14.4" x14ac:dyDescent="0.3">
      <c r="A39" s="155" t="s">
        <v>468</v>
      </c>
      <c r="B39" s="472">
        <v>66.22</v>
      </c>
      <c r="C39" s="498"/>
      <c r="D39" s="472">
        <v>86.876999999999995</v>
      </c>
      <c r="E39" s="498"/>
      <c r="F39" s="472">
        <v>83.147000000000006</v>
      </c>
      <c r="G39" s="498"/>
      <c r="H39" s="471">
        <f t="shared" si="2"/>
        <v>95.706573661613561</v>
      </c>
      <c r="I39" s="469"/>
      <c r="J39" s="469"/>
      <c r="K39" s="469"/>
      <c r="L39" s="469"/>
      <c r="M39" s="469"/>
      <c r="N39" s="469"/>
      <c r="O39" s="469"/>
      <c r="P39" s="469"/>
      <c r="Q39" s="469"/>
      <c r="R39" s="469"/>
      <c r="S39" s="469"/>
      <c r="T39" s="469"/>
      <c r="U39" s="469"/>
      <c r="V39" s="469"/>
      <c r="W39" s="469"/>
      <c r="X39" s="469"/>
      <c r="Y39" s="469"/>
      <c r="Z39" s="469"/>
      <c r="AA39" s="469"/>
      <c r="AB39" s="469"/>
      <c r="AC39" s="469"/>
      <c r="AD39" s="469"/>
      <c r="AE39" s="469"/>
      <c r="AF39" s="469"/>
      <c r="AG39" s="469"/>
      <c r="AH39" s="469"/>
      <c r="AI39" s="469"/>
      <c r="AJ39" s="469"/>
      <c r="AK39" s="469"/>
      <c r="AL39" s="469"/>
      <c r="AM39" s="469"/>
      <c r="AN39" s="469"/>
      <c r="AO39" s="469"/>
      <c r="AP39" s="469"/>
      <c r="AQ39" s="469"/>
      <c r="AR39" s="469"/>
      <c r="AS39" s="469"/>
      <c r="AT39" s="469"/>
      <c r="AU39" s="469"/>
      <c r="AV39" s="469"/>
      <c r="AW39" s="469"/>
      <c r="AX39" s="469"/>
      <c r="AY39" s="469"/>
      <c r="AZ39" s="469"/>
      <c r="BA39" s="469"/>
      <c r="BB39" s="469"/>
      <c r="BC39" s="469"/>
      <c r="BD39" s="469"/>
      <c r="BE39" s="469"/>
      <c r="BF39" s="469"/>
      <c r="BG39" s="469"/>
      <c r="BH39" s="469"/>
      <c r="BI39" s="469"/>
      <c r="BJ39" s="469"/>
      <c r="BK39" s="469"/>
      <c r="BL39" s="469"/>
      <c r="BM39" s="469"/>
      <c r="BN39" s="469"/>
      <c r="BO39" s="469"/>
      <c r="BP39" s="469"/>
      <c r="BQ39" s="469"/>
      <c r="BR39" s="469"/>
      <c r="BS39" s="469"/>
      <c r="BT39" s="469"/>
      <c r="BU39" s="46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 s="469"/>
      <c r="FS39" s="469"/>
      <c r="FT39" s="469"/>
      <c r="FU39" s="469"/>
      <c r="FV39" s="469"/>
      <c r="FW39" s="469"/>
      <c r="FX39" s="469"/>
      <c r="FY39" s="469"/>
      <c r="FZ39" s="469"/>
      <c r="GA39" s="469"/>
      <c r="GB39" s="469"/>
      <c r="GC39" s="469"/>
      <c r="GD39" s="469"/>
      <c r="GE39" s="469"/>
      <c r="GF39" s="469"/>
      <c r="GG39" s="469"/>
      <c r="GH39" s="469"/>
      <c r="GI39" s="469"/>
      <c r="GJ39" s="469"/>
      <c r="GK39" s="469"/>
      <c r="GL39" s="469"/>
      <c r="GM39" s="469"/>
      <c r="GN39" s="469"/>
      <c r="GO39" s="469"/>
      <c r="GP39" s="469"/>
      <c r="GQ39" s="469"/>
      <c r="GR39" s="469"/>
      <c r="GS39" s="469"/>
      <c r="GT39" s="469"/>
      <c r="GU39" s="469"/>
      <c r="GV39" s="469"/>
      <c r="GW39" s="469"/>
      <c r="GX39" s="469"/>
      <c r="GY39" s="469"/>
      <c r="GZ39" s="469"/>
      <c r="HA39" s="469"/>
      <c r="HB39" s="469"/>
      <c r="HC39" s="469"/>
      <c r="HD39" s="469"/>
      <c r="HE39" s="469"/>
      <c r="HF39" s="469"/>
      <c r="HG39" s="469"/>
      <c r="HH39" s="469"/>
      <c r="HI39" s="469"/>
      <c r="HJ39" s="469"/>
      <c r="HK39" s="469"/>
      <c r="HL39" s="469"/>
      <c r="HM39" s="469"/>
      <c r="HN39" s="469"/>
      <c r="HO39" s="469"/>
      <c r="HP39" s="469"/>
      <c r="HQ39" s="469"/>
    </row>
    <row r="40" spans="1:225" ht="14.4" x14ac:dyDescent="0.3">
      <c r="A40" s="474" t="s">
        <v>469</v>
      </c>
      <c r="B40" s="475">
        <f>SUM(B37:B39)</f>
        <v>249.44300000000001</v>
      </c>
      <c r="C40" s="499"/>
      <c r="D40" s="475">
        <f>SUM(D37:D39)</f>
        <v>280.10000000000002</v>
      </c>
      <c r="E40" s="499"/>
      <c r="F40" s="475">
        <f>SUM(F37:F39)</f>
        <v>298.05500000000001</v>
      </c>
      <c r="G40" s="499"/>
      <c r="H40" s="471">
        <f t="shared" si="2"/>
        <v>106.41021063905747</v>
      </c>
      <c r="I40" s="476"/>
      <c r="J40" s="469"/>
      <c r="K40" s="469"/>
      <c r="L40" s="469"/>
      <c r="M40" s="469"/>
      <c r="N40" s="469"/>
      <c r="O40" s="469"/>
      <c r="P40" s="469"/>
      <c r="Q40" s="469"/>
      <c r="R40" s="469"/>
      <c r="S40" s="469"/>
      <c r="T40" s="469"/>
      <c r="U40" s="469"/>
      <c r="V40" s="469"/>
      <c r="W40" s="469"/>
      <c r="X40" s="469"/>
      <c r="Y40" s="469"/>
      <c r="Z40" s="469"/>
      <c r="AA40" s="469"/>
      <c r="AB40" s="469"/>
      <c r="AC40" s="469"/>
      <c r="AD40" s="469"/>
      <c r="AE40" s="469"/>
      <c r="AF40" s="469"/>
      <c r="AG40" s="469"/>
      <c r="AH40" s="469"/>
      <c r="AI40" s="469"/>
      <c r="AJ40" s="469"/>
      <c r="AK40" s="469"/>
      <c r="AL40" s="469"/>
      <c r="AM40" s="469"/>
      <c r="AN40" s="469"/>
      <c r="AO40" s="469"/>
      <c r="AP40" s="469"/>
      <c r="AQ40" s="469"/>
      <c r="AR40" s="469"/>
      <c r="AS40" s="469"/>
      <c r="AT40" s="469"/>
      <c r="AU40" s="469"/>
      <c r="AV40" s="469"/>
      <c r="AW40" s="469"/>
      <c r="AX40" s="469"/>
      <c r="AY40" s="469"/>
      <c r="AZ40" s="469"/>
      <c r="BA40" s="469"/>
      <c r="BB40" s="469"/>
      <c r="BC40" s="469"/>
      <c r="BD40" s="469"/>
      <c r="BE40" s="469"/>
      <c r="BF40" s="469"/>
      <c r="BG40" s="469"/>
      <c r="BH40" s="469"/>
      <c r="BI40" s="469"/>
      <c r="BJ40" s="469"/>
      <c r="BK40" s="469"/>
      <c r="BL40" s="469"/>
      <c r="BM40" s="469"/>
      <c r="BN40" s="469"/>
      <c r="BO40" s="469"/>
      <c r="BP40" s="469"/>
      <c r="BQ40" s="469"/>
      <c r="BR40" s="469"/>
      <c r="BS40" s="469"/>
      <c r="BT40" s="469"/>
      <c r="BU40" s="469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 s="469"/>
      <c r="FS40" s="469"/>
      <c r="FT40" s="469"/>
      <c r="FU40" s="469"/>
      <c r="FV40" s="469"/>
      <c r="FW40" s="469"/>
      <c r="FX40" s="469"/>
      <c r="FY40" s="469"/>
      <c r="FZ40" s="469"/>
      <c r="GA40" s="469"/>
      <c r="GB40" s="469"/>
      <c r="GC40" s="469"/>
      <c r="GD40" s="469"/>
      <c r="GE40" s="469"/>
      <c r="GF40" s="469"/>
      <c r="GG40" s="469"/>
      <c r="GH40" s="469"/>
      <c r="GI40" s="469"/>
      <c r="GJ40" s="469"/>
      <c r="GK40" s="469"/>
      <c r="GL40" s="469"/>
      <c r="GM40" s="469"/>
      <c r="GN40" s="469"/>
      <c r="GO40" s="469"/>
      <c r="GP40" s="469"/>
      <c r="GQ40" s="469"/>
      <c r="GR40" s="469"/>
      <c r="GS40" s="469"/>
      <c r="GT40" s="469"/>
      <c r="GU40" s="469"/>
      <c r="GV40" s="469"/>
      <c r="GW40" s="469"/>
      <c r="GX40" s="469"/>
      <c r="GY40" s="469"/>
      <c r="GZ40" s="469"/>
      <c r="HA40" s="469"/>
      <c r="HB40" s="469"/>
      <c r="HC40" s="469"/>
      <c r="HD40" s="469"/>
      <c r="HE40" s="469"/>
      <c r="HF40" s="469"/>
      <c r="HG40" s="469"/>
      <c r="HH40" s="469"/>
      <c r="HI40" s="469"/>
      <c r="HJ40" s="469"/>
      <c r="HK40" s="469"/>
      <c r="HL40" s="469"/>
      <c r="HM40" s="469"/>
      <c r="HN40" s="469"/>
      <c r="HO40" s="469"/>
      <c r="HP40" s="469"/>
      <c r="HQ40" s="469"/>
    </row>
    <row r="41" spans="1:225" ht="14.4" x14ac:dyDescent="0.3">
      <c r="A41" s="474" t="s">
        <v>470</v>
      </c>
      <c r="B41" s="475">
        <f>+B35+B40</f>
        <v>345.93100000000004</v>
      </c>
      <c r="C41" s="499"/>
      <c r="D41" s="475">
        <f>+D35+D40</f>
        <v>384.37200000000001</v>
      </c>
      <c r="E41" s="499"/>
      <c r="F41" s="475">
        <f>+F35+F40</f>
        <v>395.93799999999999</v>
      </c>
      <c r="G41" s="499"/>
      <c r="H41" s="471">
        <f t="shared" si="2"/>
        <v>103.00906413578511</v>
      </c>
      <c r="I41" s="476"/>
      <c r="J41" s="469"/>
      <c r="K41" s="469"/>
      <c r="L41" s="469"/>
      <c r="M41" s="469"/>
      <c r="N41" s="469"/>
      <c r="O41" s="469"/>
      <c r="P41" s="469"/>
      <c r="Q41" s="469"/>
      <c r="R41" s="469"/>
      <c r="S41" s="469"/>
      <c r="T41" s="469"/>
      <c r="U41" s="469"/>
      <c r="V41" s="469"/>
      <c r="W41" s="469"/>
      <c r="X41" s="469"/>
      <c r="Y41" s="469"/>
      <c r="Z41" s="469"/>
      <c r="AA41" s="469"/>
      <c r="AB41" s="469"/>
      <c r="AC41" s="469"/>
      <c r="AD41" s="469"/>
      <c r="AE41" s="469"/>
      <c r="AF41" s="469"/>
      <c r="AG41" s="469"/>
      <c r="AH41" s="469"/>
      <c r="AI41" s="469"/>
      <c r="AJ41" s="469"/>
      <c r="AK41" s="469"/>
      <c r="AL41" s="469"/>
      <c r="AM41" s="469"/>
      <c r="AN41" s="469"/>
      <c r="AO41" s="469"/>
      <c r="AP41" s="469"/>
      <c r="AQ41" s="469"/>
      <c r="AR41" s="469"/>
      <c r="AS41" s="469"/>
      <c r="AT41" s="469"/>
      <c r="AU41" s="469"/>
      <c r="AV41" s="469"/>
      <c r="AW41" s="469"/>
      <c r="AX41" s="469"/>
      <c r="AY41" s="469"/>
      <c r="AZ41" s="469"/>
      <c r="BA41" s="469"/>
      <c r="BB41" s="469"/>
      <c r="BC41" s="469"/>
      <c r="BD41" s="469"/>
      <c r="BE41" s="469"/>
      <c r="BF41" s="469"/>
      <c r="BG41" s="469"/>
      <c r="BH41" s="469"/>
      <c r="BI41" s="469"/>
      <c r="BJ41" s="469"/>
      <c r="BK41" s="469"/>
      <c r="BL41" s="469"/>
      <c r="BM41" s="469"/>
      <c r="BN41" s="469"/>
      <c r="BO41" s="469"/>
      <c r="BP41" s="469"/>
      <c r="BQ41" s="469"/>
      <c r="BR41" s="469"/>
      <c r="BS41" s="469"/>
      <c r="BT41" s="469"/>
      <c r="BU41" s="469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 s="469"/>
      <c r="FS41" s="469"/>
      <c r="FT41" s="469"/>
      <c r="FU41" s="469"/>
      <c r="FV41" s="469"/>
      <c r="FW41" s="469"/>
      <c r="FX41" s="469"/>
      <c r="FY41" s="469"/>
      <c r="FZ41" s="469"/>
      <c r="GA41" s="469"/>
      <c r="GB41" s="469"/>
      <c r="GC41" s="469"/>
      <c r="GD41" s="469"/>
      <c r="GE41" s="469"/>
      <c r="GF41" s="469"/>
      <c r="GG41" s="469"/>
      <c r="GH41" s="469"/>
      <c r="GI41" s="469"/>
      <c r="GJ41" s="469"/>
      <c r="GK41" s="469"/>
      <c r="GL41" s="469"/>
      <c r="GM41" s="469"/>
      <c r="GN41" s="469"/>
      <c r="GO41" s="469"/>
      <c r="GP41" s="469"/>
      <c r="GQ41" s="469"/>
      <c r="GR41" s="469"/>
      <c r="GS41" s="469"/>
      <c r="GT41" s="469"/>
      <c r="GU41" s="469"/>
      <c r="GV41" s="469"/>
      <c r="GW41" s="469"/>
      <c r="GX41" s="469"/>
      <c r="GY41" s="469"/>
      <c r="GZ41" s="469"/>
      <c r="HA41" s="469"/>
      <c r="HB41" s="469"/>
      <c r="HC41" s="469"/>
      <c r="HD41" s="469"/>
      <c r="HE41" s="469"/>
      <c r="HF41" s="469"/>
      <c r="HG41" s="469"/>
      <c r="HH41" s="469"/>
      <c r="HI41" s="469"/>
      <c r="HJ41" s="469"/>
      <c r="HK41" s="469"/>
      <c r="HL41" s="469"/>
      <c r="HM41" s="469"/>
      <c r="HN41" s="469"/>
      <c r="HO41" s="469"/>
      <c r="HP41" s="469"/>
      <c r="HQ41" s="469"/>
    </row>
    <row r="42" spans="1:225" ht="14.4" x14ac:dyDescent="0.3">
      <c r="A42" s="474" t="s">
        <v>471</v>
      </c>
      <c r="B42" s="475">
        <v>152.9</v>
      </c>
      <c r="C42" s="499"/>
      <c r="D42" s="475">
        <v>209.03399999999999</v>
      </c>
      <c r="E42" s="499"/>
      <c r="F42" s="475">
        <v>269.72899999999998</v>
      </c>
      <c r="G42" s="499"/>
      <c r="H42" s="471">
        <f t="shared" si="2"/>
        <v>129.03594630538572</v>
      </c>
      <c r="I42" s="469"/>
      <c r="J42" s="469"/>
      <c r="K42" s="469"/>
      <c r="L42" s="469"/>
      <c r="M42" s="469"/>
      <c r="N42" s="469"/>
      <c r="O42" s="469"/>
      <c r="P42" s="469"/>
      <c r="Q42" s="469"/>
      <c r="R42" s="469"/>
      <c r="S42" s="469"/>
      <c r="T42" s="469"/>
      <c r="U42" s="469"/>
      <c r="V42" s="469"/>
      <c r="W42" s="469"/>
      <c r="X42" s="469"/>
      <c r="Y42" s="469"/>
      <c r="Z42" s="469"/>
      <c r="AA42" s="469"/>
      <c r="AB42" s="469"/>
      <c r="AC42" s="469"/>
      <c r="AD42" s="469"/>
      <c r="AE42" s="469"/>
      <c r="AF42" s="469"/>
      <c r="AG42" s="469"/>
      <c r="AH42" s="469"/>
      <c r="AI42" s="469"/>
      <c r="AJ42" s="469"/>
      <c r="AK42" s="469"/>
      <c r="AL42" s="469"/>
      <c r="AM42" s="469"/>
      <c r="AN42" s="469"/>
      <c r="AO42" s="469"/>
      <c r="AP42" s="469"/>
      <c r="AQ42" s="469"/>
      <c r="AR42" s="469"/>
      <c r="AS42" s="469"/>
      <c r="AT42" s="469"/>
      <c r="AU42" s="469"/>
      <c r="AV42" s="469"/>
      <c r="AW42" s="469"/>
      <c r="AX42" s="469"/>
      <c r="AY42" s="469"/>
      <c r="AZ42" s="469"/>
      <c r="BA42" s="469"/>
      <c r="BB42" s="469"/>
      <c r="BC42" s="469"/>
      <c r="BD42" s="469"/>
      <c r="BE42" s="469"/>
      <c r="BF42" s="469"/>
      <c r="BG42" s="469"/>
      <c r="BH42" s="469"/>
      <c r="BI42" s="469"/>
      <c r="BJ42" s="469"/>
      <c r="BK42" s="469"/>
      <c r="BL42" s="469"/>
      <c r="BM42" s="469"/>
      <c r="BN42" s="469"/>
      <c r="BO42" s="469"/>
      <c r="BP42" s="469"/>
      <c r="BQ42" s="469"/>
      <c r="BR42" s="469"/>
      <c r="BS42" s="469"/>
      <c r="BT42" s="469"/>
      <c r="BU42" s="469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 s="469"/>
      <c r="FS42" s="469"/>
      <c r="FT42" s="469"/>
      <c r="FU42" s="469"/>
      <c r="FV42" s="469"/>
      <c r="FW42" s="469"/>
      <c r="FX42" s="469"/>
      <c r="FY42" s="469"/>
      <c r="FZ42" s="469"/>
      <c r="GA42" s="469"/>
      <c r="GB42" s="469"/>
      <c r="GC42" s="469"/>
      <c r="GD42" s="469"/>
      <c r="GE42" s="469"/>
      <c r="GF42" s="469"/>
      <c r="GG42" s="469"/>
      <c r="GH42" s="469"/>
      <c r="GI42" s="469"/>
      <c r="GJ42" s="469"/>
      <c r="GK42" s="469"/>
      <c r="GL42" s="469"/>
      <c r="GM42" s="469"/>
      <c r="GN42" s="469"/>
      <c r="GO42" s="469"/>
      <c r="GP42" s="469"/>
      <c r="GQ42" s="469"/>
      <c r="GR42" s="469"/>
      <c r="GS42" s="469"/>
      <c r="GT42" s="469"/>
      <c r="GU42" s="469"/>
      <c r="GV42" s="469"/>
      <c r="GW42" s="469"/>
      <c r="GX42" s="469"/>
      <c r="GY42" s="469"/>
      <c r="GZ42" s="469"/>
      <c r="HA42" s="469"/>
      <c r="HB42" s="469"/>
      <c r="HC42" s="469"/>
      <c r="HD42" s="469"/>
      <c r="HE42" s="469"/>
      <c r="HF42" s="469"/>
      <c r="HG42" s="469"/>
      <c r="HH42" s="469"/>
      <c r="HI42" s="469"/>
      <c r="HJ42" s="469"/>
      <c r="HK42" s="469"/>
      <c r="HL42" s="469"/>
      <c r="HM42" s="469"/>
      <c r="HN42" s="469"/>
      <c r="HO42" s="469"/>
      <c r="HP42" s="469"/>
      <c r="HQ42" s="469"/>
    </row>
    <row r="43" spans="1:225" ht="14.4" x14ac:dyDescent="0.3">
      <c r="A43" s="155" t="s">
        <v>472</v>
      </c>
      <c r="B43" s="472">
        <v>0</v>
      </c>
      <c r="C43" s="498"/>
      <c r="D43" s="472">
        <v>0</v>
      </c>
      <c r="E43" s="498"/>
      <c r="F43" s="472">
        <v>0</v>
      </c>
      <c r="G43" s="498"/>
      <c r="H43" s="471" t="str">
        <f t="shared" si="2"/>
        <v>-</v>
      </c>
      <c r="I43" s="469"/>
      <c r="J43" s="469"/>
      <c r="K43" s="469"/>
      <c r="L43" s="469"/>
      <c r="M43" s="469"/>
      <c r="N43" s="469"/>
      <c r="O43" s="469"/>
      <c r="P43" s="469"/>
      <c r="Q43" s="469"/>
      <c r="R43" s="469"/>
      <c r="S43" s="469"/>
      <c r="T43" s="469"/>
      <c r="U43" s="469"/>
      <c r="V43" s="469"/>
      <c r="W43" s="469"/>
      <c r="X43" s="469"/>
      <c r="Y43" s="469"/>
      <c r="Z43" s="469"/>
      <c r="AA43" s="469"/>
      <c r="AB43" s="469"/>
      <c r="AC43" s="469"/>
      <c r="AD43" s="469"/>
      <c r="AE43" s="469"/>
      <c r="AF43" s="469"/>
      <c r="AG43" s="469"/>
      <c r="AH43" s="469"/>
      <c r="AI43" s="469"/>
      <c r="AJ43" s="469"/>
      <c r="AK43" s="469"/>
      <c r="AL43" s="469"/>
      <c r="AM43" s="469"/>
      <c r="AN43" s="469"/>
      <c r="AO43" s="469"/>
      <c r="AP43" s="469"/>
      <c r="AQ43" s="469"/>
      <c r="AR43" s="469"/>
      <c r="AS43" s="469"/>
      <c r="AT43" s="469"/>
      <c r="AU43" s="469"/>
      <c r="AV43" s="469"/>
      <c r="AW43" s="469"/>
      <c r="AX43" s="469"/>
      <c r="AY43" s="469"/>
      <c r="AZ43" s="469"/>
      <c r="BA43" s="469"/>
      <c r="BB43" s="469"/>
      <c r="BC43" s="469"/>
      <c r="BD43" s="469"/>
      <c r="BE43" s="469"/>
      <c r="BF43" s="469"/>
      <c r="BG43" s="469"/>
      <c r="BH43" s="469"/>
      <c r="BI43" s="469"/>
      <c r="BJ43" s="469"/>
      <c r="BK43" s="469"/>
      <c r="BL43" s="469"/>
      <c r="BM43" s="469"/>
      <c r="BN43" s="469"/>
      <c r="BO43" s="469"/>
      <c r="BP43" s="469"/>
      <c r="BQ43" s="469"/>
      <c r="BR43" s="469"/>
      <c r="BS43" s="469"/>
      <c r="BT43" s="469"/>
      <c r="BU43" s="469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 s="469"/>
      <c r="FS43" s="469"/>
      <c r="FT43" s="469"/>
      <c r="FU43" s="469"/>
      <c r="FV43" s="469"/>
      <c r="FW43" s="469"/>
      <c r="FX43" s="469"/>
      <c r="FY43" s="469"/>
      <c r="FZ43" s="469"/>
      <c r="GA43" s="469"/>
      <c r="GB43" s="469"/>
      <c r="GC43" s="469"/>
      <c r="GD43" s="469"/>
      <c r="GE43" s="469"/>
      <c r="GF43" s="469"/>
      <c r="GG43" s="469"/>
      <c r="GH43" s="469"/>
      <c r="GI43" s="469"/>
      <c r="GJ43" s="469"/>
      <c r="GK43" s="469"/>
      <c r="GL43" s="469"/>
      <c r="GM43" s="469"/>
      <c r="GN43" s="469"/>
      <c r="GO43" s="469"/>
      <c r="GP43" s="469"/>
      <c r="GQ43" s="469"/>
      <c r="GR43" s="469"/>
      <c r="GS43" s="469"/>
      <c r="GT43" s="469"/>
      <c r="GU43" s="469"/>
      <c r="GV43" s="469"/>
      <c r="GW43" s="469"/>
      <c r="GX43" s="469"/>
      <c r="GY43" s="469"/>
      <c r="GZ43" s="469"/>
      <c r="HA43" s="469"/>
      <c r="HB43" s="469"/>
      <c r="HC43" s="469"/>
      <c r="HD43" s="469"/>
      <c r="HE43" s="469"/>
      <c r="HF43" s="469"/>
      <c r="HG43" s="469"/>
      <c r="HH43" s="469"/>
      <c r="HI43" s="469"/>
      <c r="HJ43" s="469"/>
      <c r="HK43" s="469"/>
      <c r="HL43" s="469"/>
      <c r="HM43" s="469"/>
      <c r="HN43" s="469"/>
      <c r="HO43" s="469"/>
      <c r="HP43" s="469"/>
      <c r="HQ43" s="469"/>
    </row>
    <row r="44" spans="1:225" ht="14.4" x14ac:dyDescent="0.3">
      <c r="A44" s="155" t="s">
        <v>209</v>
      </c>
      <c r="B44" s="472">
        <v>13.276</v>
      </c>
      <c r="C44" s="498"/>
      <c r="D44" s="472">
        <v>19.667999999999999</v>
      </c>
      <c r="E44" s="498"/>
      <c r="F44" s="472">
        <v>22.780999999999999</v>
      </c>
      <c r="G44" s="498"/>
      <c r="H44" s="471">
        <f t="shared" si="2"/>
        <v>115.82774049217002</v>
      </c>
      <c r="I44" s="469"/>
      <c r="J44" s="469"/>
      <c r="K44" s="469"/>
      <c r="L44" s="469"/>
      <c r="M44" s="469"/>
      <c r="N44" s="469"/>
      <c r="O44" s="469"/>
      <c r="P44" s="469"/>
      <c r="Q44" s="469"/>
      <c r="R44" s="469"/>
      <c r="S44" s="469"/>
      <c r="T44" s="469"/>
      <c r="U44" s="469"/>
      <c r="V44" s="469"/>
      <c r="W44" s="469"/>
      <c r="X44" s="469"/>
      <c r="Y44" s="469"/>
      <c r="Z44" s="469"/>
      <c r="AA44" s="469"/>
      <c r="AB44" s="469"/>
      <c r="AC44" s="469"/>
      <c r="AD44" s="469"/>
      <c r="AE44" s="469"/>
      <c r="AF44" s="469"/>
      <c r="AG44" s="469"/>
      <c r="AH44" s="469"/>
      <c r="AI44" s="469"/>
      <c r="AJ44" s="469"/>
      <c r="AK44" s="469"/>
      <c r="AL44" s="469"/>
      <c r="AM44" s="469"/>
      <c r="AN44" s="469"/>
      <c r="AO44" s="469"/>
      <c r="AP44" s="469"/>
      <c r="AQ44" s="469"/>
      <c r="AR44" s="469"/>
      <c r="AS44" s="469"/>
      <c r="AT44" s="469"/>
      <c r="AU44" s="469"/>
      <c r="AV44" s="469"/>
      <c r="AW44" s="469"/>
      <c r="AX44" s="469"/>
      <c r="AY44" s="469"/>
      <c r="AZ44" s="469"/>
      <c r="BA44" s="469"/>
      <c r="BB44" s="469"/>
      <c r="BC44" s="469"/>
      <c r="BD44" s="469"/>
      <c r="BE44" s="469"/>
      <c r="BF44" s="469"/>
      <c r="BG44" s="469"/>
      <c r="BH44" s="469"/>
      <c r="BI44" s="469"/>
      <c r="BJ44" s="469"/>
      <c r="BK44" s="469"/>
      <c r="BL44" s="469"/>
      <c r="BM44" s="469"/>
      <c r="BN44" s="469"/>
      <c r="BO44" s="469"/>
      <c r="BP44" s="469"/>
      <c r="BQ44" s="469"/>
      <c r="BR44" s="469"/>
      <c r="BS44" s="469"/>
      <c r="BT44" s="469"/>
      <c r="BU44" s="469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 s="469"/>
      <c r="FS44" s="469"/>
      <c r="FT44" s="469"/>
      <c r="FU44" s="469"/>
      <c r="FV44" s="469"/>
      <c r="FW44" s="469"/>
      <c r="FX44" s="469"/>
      <c r="FY44" s="469"/>
      <c r="FZ44" s="469"/>
      <c r="GA44" s="469"/>
      <c r="GB44" s="469"/>
      <c r="GC44" s="469"/>
      <c r="GD44" s="469"/>
      <c r="GE44" s="469"/>
      <c r="GF44" s="469"/>
      <c r="GG44" s="469"/>
      <c r="GH44" s="469"/>
      <c r="GI44" s="469"/>
      <c r="GJ44" s="469"/>
      <c r="GK44" s="469"/>
      <c r="GL44" s="469"/>
      <c r="GM44" s="469"/>
      <c r="GN44" s="469"/>
      <c r="GO44" s="469"/>
      <c r="GP44" s="469"/>
      <c r="GQ44" s="469"/>
      <c r="GR44" s="469"/>
      <c r="GS44" s="469"/>
      <c r="GT44" s="469"/>
      <c r="GU44" s="469"/>
      <c r="GV44" s="469"/>
      <c r="GW44" s="469"/>
      <c r="GX44" s="469"/>
      <c r="GY44" s="469"/>
      <c r="GZ44" s="469"/>
      <c r="HA44" s="469"/>
      <c r="HB44" s="469"/>
      <c r="HC44" s="469"/>
      <c r="HD44" s="469"/>
      <c r="HE44" s="469"/>
      <c r="HF44" s="469"/>
      <c r="HG44" s="469"/>
      <c r="HH44" s="469"/>
      <c r="HI44" s="469"/>
      <c r="HJ44" s="469"/>
      <c r="HK44" s="469"/>
      <c r="HL44" s="469"/>
      <c r="HM44" s="469"/>
      <c r="HN44" s="469"/>
      <c r="HO44" s="469"/>
      <c r="HP44" s="469"/>
      <c r="HQ44" s="469"/>
    </row>
    <row r="45" spans="1:225" ht="14.4" x14ac:dyDescent="0.3">
      <c r="A45" s="155" t="s">
        <v>473</v>
      </c>
      <c r="B45" s="472">
        <v>0.81200000000000006</v>
      </c>
      <c r="C45" s="498"/>
      <c r="D45" s="472">
        <v>1.29</v>
      </c>
      <c r="E45" s="498"/>
      <c r="F45" s="472">
        <v>1.1339999999999999</v>
      </c>
      <c r="G45" s="498"/>
      <c r="H45" s="471">
        <f t="shared" si="2"/>
        <v>87.906976744186039</v>
      </c>
      <c r="I45" s="469"/>
      <c r="J45" s="469"/>
      <c r="K45" s="469"/>
      <c r="L45" s="469"/>
      <c r="M45" s="469"/>
      <c r="N45" s="469"/>
      <c r="O45" s="469"/>
      <c r="P45" s="469"/>
      <c r="Q45" s="469"/>
      <c r="R45" s="469"/>
      <c r="S45" s="469"/>
      <c r="T45" s="469"/>
      <c r="U45" s="469"/>
      <c r="V45" s="469"/>
      <c r="W45" s="469"/>
      <c r="X45" s="469"/>
      <c r="Y45" s="469"/>
      <c r="Z45" s="469"/>
      <c r="AA45" s="469"/>
      <c r="AB45" s="469"/>
      <c r="AC45" s="469"/>
      <c r="AD45" s="469"/>
      <c r="AE45" s="469"/>
      <c r="AF45" s="469"/>
      <c r="AG45" s="469"/>
      <c r="AH45" s="469"/>
      <c r="AI45" s="469"/>
      <c r="AJ45" s="469"/>
      <c r="AK45" s="469"/>
      <c r="AL45" s="469"/>
      <c r="AM45" s="469"/>
      <c r="AN45" s="469"/>
      <c r="AO45" s="469"/>
      <c r="AP45" s="469"/>
      <c r="AQ45" s="469"/>
      <c r="AR45" s="469"/>
      <c r="AS45" s="469"/>
      <c r="AT45" s="469"/>
      <c r="AU45" s="469"/>
      <c r="AV45" s="469"/>
      <c r="AW45" s="469"/>
      <c r="AX45" s="469"/>
      <c r="AY45" s="469"/>
      <c r="AZ45" s="469"/>
      <c r="BA45" s="469"/>
      <c r="BB45" s="469"/>
      <c r="BC45" s="469"/>
      <c r="BD45" s="469"/>
      <c r="BE45" s="469"/>
      <c r="BF45" s="469"/>
      <c r="BG45" s="469"/>
      <c r="BH45" s="469"/>
      <c r="BI45" s="469"/>
      <c r="BJ45" s="469"/>
      <c r="BK45" s="469"/>
      <c r="BL45" s="469"/>
      <c r="BM45" s="469"/>
      <c r="BN45" s="469"/>
      <c r="BO45" s="469"/>
      <c r="BP45" s="469"/>
      <c r="BQ45" s="469"/>
      <c r="BR45" s="469"/>
      <c r="BS45" s="469"/>
      <c r="BT45" s="469"/>
      <c r="BU45" s="469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 s="469"/>
      <c r="FS45" s="469"/>
      <c r="FT45" s="469"/>
      <c r="FU45" s="469"/>
      <c r="FV45" s="469"/>
      <c r="FW45" s="469"/>
      <c r="FX45" s="469"/>
      <c r="FY45" s="469"/>
      <c r="FZ45" s="469"/>
      <c r="GA45" s="469"/>
      <c r="GB45" s="469"/>
      <c r="GC45" s="469"/>
      <c r="GD45" s="469"/>
      <c r="GE45" s="469"/>
      <c r="GF45" s="469"/>
      <c r="GG45" s="469"/>
      <c r="GH45" s="469"/>
      <c r="GI45" s="469"/>
      <c r="GJ45" s="469"/>
      <c r="GK45" s="469"/>
      <c r="GL45" s="469"/>
      <c r="GM45" s="469"/>
      <c r="GN45" s="469"/>
      <c r="GO45" s="469"/>
      <c r="GP45" s="469"/>
      <c r="GQ45" s="469"/>
      <c r="GR45" s="469"/>
      <c r="GS45" s="469"/>
      <c r="GT45" s="469"/>
      <c r="GU45" s="469"/>
      <c r="GV45" s="469"/>
      <c r="GW45" s="469"/>
      <c r="GX45" s="469"/>
      <c r="GY45" s="469"/>
      <c r="GZ45" s="469"/>
      <c r="HA45" s="469"/>
      <c r="HB45" s="469"/>
      <c r="HC45" s="469"/>
      <c r="HD45" s="469"/>
      <c r="HE45" s="469"/>
      <c r="HF45" s="469"/>
      <c r="HG45" s="469"/>
      <c r="HH45" s="469"/>
      <c r="HI45" s="469"/>
      <c r="HJ45" s="469"/>
      <c r="HK45" s="469"/>
      <c r="HL45" s="469"/>
      <c r="HM45" s="469"/>
      <c r="HN45" s="469"/>
      <c r="HO45" s="469"/>
      <c r="HP45" s="469"/>
      <c r="HQ45" s="469"/>
    </row>
    <row r="46" spans="1:225" ht="14.4" x14ac:dyDescent="0.3">
      <c r="A46" s="155" t="s">
        <v>474</v>
      </c>
      <c r="B46" s="472">
        <v>1.141</v>
      </c>
      <c r="C46" s="498"/>
      <c r="D46" s="472">
        <v>1.3839999999999999</v>
      </c>
      <c r="E46" s="498"/>
      <c r="F46" s="472">
        <v>0.92200000000000004</v>
      </c>
      <c r="G46" s="498"/>
      <c r="H46" s="471">
        <f t="shared" si="2"/>
        <v>66.618497109826592</v>
      </c>
      <c r="I46" s="469"/>
      <c r="J46" s="469"/>
      <c r="K46" s="469"/>
      <c r="L46" s="469"/>
      <c r="M46" s="469"/>
      <c r="N46" s="469"/>
      <c r="O46" s="469"/>
      <c r="P46" s="469"/>
      <c r="Q46" s="469"/>
      <c r="R46" s="469"/>
      <c r="S46" s="469"/>
      <c r="T46" s="469"/>
      <c r="U46" s="469"/>
      <c r="V46" s="469"/>
      <c r="W46" s="469"/>
      <c r="X46" s="469"/>
      <c r="Y46" s="469"/>
      <c r="Z46" s="469"/>
      <c r="AA46" s="469"/>
      <c r="AB46" s="469"/>
      <c r="AC46" s="469"/>
      <c r="AD46" s="469"/>
      <c r="AE46" s="469"/>
      <c r="AF46" s="469"/>
      <c r="AG46" s="469"/>
      <c r="AH46" s="469"/>
      <c r="AI46" s="469"/>
      <c r="AJ46" s="469"/>
      <c r="AK46" s="469"/>
      <c r="AL46" s="469"/>
      <c r="AM46" s="469"/>
      <c r="AN46" s="469"/>
      <c r="AO46" s="469"/>
      <c r="AP46" s="469"/>
      <c r="AQ46" s="469"/>
      <c r="AR46" s="469"/>
      <c r="AS46" s="469"/>
      <c r="AT46" s="469"/>
      <c r="AU46" s="469"/>
      <c r="AV46" s="469"/>
      <c r="AW46" s="469"/>
      <c r="AX46" s="469"/>
      <c r="AY46" s="469"/>
      <c r="AZ46" s="469"/>
      <c r="BA46" s="469"/>
      <c r="BB46" s="469"/>
      <c r="BC46" s="469"/>
      <c r="BD46" s="469"/>
      <c r="BE46" s="469"/>
      <c r="BF46" s="469"/>
      <c r="BG46" s="469"/>
      <c r="BH46" s="469"/>
      <c r="BI46" s="469"/>
      <c r="BJ46" s="469"/>
      <c r="BK46" s="469"/>
      <c r="BL46" s="469"/>
      <c r="BM46" s="469"/>
      <c r="BN46" s="469"/>
      <c r="BO46" s="469"/>
      <c r="BP46" s="469"/>
      <c r="BQ46" s="469"/>
      <c r="BR46" s="469"/>
      <c r="BS46" s="469"/>
      <c r="BT46" s="469"/>
      <c r="BU46" s="469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 s="469"/>
      <c r="FS46" s="469"/>
      <c r="FT46" s="469"/>
      <c r="FU46" s="469"/>
      <c r="FV46" s="469"/>
      <c r="FW46" s="469"/>
      <c r="FX46" s="469"/>
      <c r="FY46" s="469"/>
      <c r="FZ46" s="469"/>
      <c r="GA46" s="469"/>
      <c r="GB46" s="469"/>
      <c r="GC46" s="469"/>
      <c r="GD46" s="469"/>
      <c r="GE46" s="469"/>
      <c r="GF46" s="469"/>
      <c r="GG46" s="469"/>
      <c r="GH46" s="469"/>
      <c r="GI46" s="469"/>
      <c r="GJ46" s="469"/>
      <c r="GK46" s="469"/>
      <c r="GL46" s="469"/>
      <c r="GM46" s="469"/>
      <c r="GN46" s="469"/>
      <c r="GO46" s="469"/>
      <c r="GP46" s="469"/>
      <c r="GQ46" s="469"/>
      <c r="GR46" s="469"/>
      <c r="GS46" s="469"/>
      <c r="GT46" s="469"/>
      <c r="GU46" s="469"/>
      <c r="GV46" s="469"/>
      <c r="GW46" s="469"/>
      <c r="GX46" s="469"/>
      <c r="GY46" s="469"/>
      <c r="GZ46" s="469"/>
      <c r="HA46" s="469"/>
      <c r="HB46" s="469"/>
      <c r="HC46" s="469"/>
      <c r="HD46" s="469"/>
      <c r="HE46" s="469"/>
      <c r="HF46" s="469"/>
      <c r="HG46" s="469"/>
      <c r="HH46" s="469"/>
      <c r="HI46" s="469"/>
      <c r="HJ46" s="469"/>
      <c r="HK46" s="469"/>
      <c r="HL46" s="469"/>
      <c r="HM46" s="469"/>
      <c r="HN46" s="469"/>
      <c r="HO46" s="469"/>
      <c r="HP46" s="469"/>
      <c r="HQ46" s="469"/>
    </row>
    <row r="47" spans="1:225" s="130" customFormat="1" ht="14.4" x14ac:dyDescent="0.3">
      <c r="A47" s="474" t="s">
        <v>475</v>
      </c>
      <c r="B47" s="475">
        <v>139.29499999999999</v>
      </c>
      <c r="C47" s="499"/>
      <c r="D47" s="475">
        <v>189.27199999999999</v>
      </c>
      <c r="E47" s="499"/>
      <c r="F47" s="475">
        <v>247.16</v>
      </c>
      <c r="G47" s="499"/>
      <c r="H47" s="471">
        <f t="shared" si="2"/>
        <v>130.58455556025191</v>
      </c>
      <c r="I47" s="477"/>
      <c r="J47" s="477"/>
      <c r="K47" s="477"/>
      <c r="L47" s="477"/>
      <c r="M47" s="477"/>
      <c r="N47" s="477"/>
      <c r="O47" s="477"/>
      <c r="P47" s="477"/>
      <c r="Q47" s="477"/>
      <c r="R47" s="477"/>
      <c r="S47" s="477"/>
      <c r="T47" s="477"/>
      <c r="U47" s="477"/>
      <c r="V47" s="477"/>
      <c r="W47" s="477"/>
      <c r="X47" s="477"/>
      <c r="Y47" s="477"/>
      <c r="Z47" s="477"/>
      <c r="AA47" s="477"/>
      <c r="AB47" s="477"/>
      <c r="AC47" s="477"/>
      <c r="AD47" s="477"/>
      <c r="AE47" s="477"/>
      <c r="AF47" s="477"/>
      <c r="AG47" s="477"/>
      <c r="AH47" s="477"/>
      <c r="AI47" s="477"/>
      <c r="AJ47" s="477"/>
      <c r="AK47" s="477"/>
      <c r="AL47" s="477"/>
      <c r="AM47" s="477"/>
      <c r="AN47" s="477"/>
      <c r="AO47" s="477"/>
      <c r="AP47" s="477"/>
      <c r="AQ47" s="477"/>
      <c r="AR47" s="477"/>
      <c r="AS47" s="477"/>
      <c r="AT47" s="477"/>
      <c r="AU47" s="477"/>
      <c r="AV47" s="477"/>
      <c r="AW47" s="477"/>
      <c r="AX47" s="477"/>
      <c r="AY47" s="477"/>
      <c r="AZ47" s="477"/>
      <c r="BA47" s="477"/>
      <c r="BB47" s="477"/>
      <c r="BC47" s="477"/>
      <c r="BD47" s="477"/>
      <c r="BE47" s="477"/>
      <c r="BF47" s="477"/>
      <c r="BG47" s="477"/>
      <c r="BH47" s="477"/>
      <c r="BI47" s="477"/>
      <c r="BJ47" s="477"/>
      <c r="BK47" s="477"/>
      <c r="BL47" s="477"/>
      <c r="BM47" s="477"/>
      <c r="BN47" s="477"/>
      <c r="BO47" s="477"/>
      <c r="BP47" s="477"/>
      <c r="BQ47" s="477"/>
      <c r="BR47" s="477"/>
      <c r="BS47" s="477"/>
      <c r="BT47" s="477"/>
      <c r="BU47" s="47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 s="477"/>
      <c r="FS47" s="477"/>
      <c r="FT47" s="477"/>
      <c r="FU47" s="477"/>
      <c r="FV47" s="477"/>
      <c r="FW47" s="477"/>
      <c r="FX47" s="477"/>
      <c r="FY47" s="477"/>
      <c r="FZ47" s="477"/>
      <c r="GA47" s="477"/>
      <c r="GB47" s="477"/>
      <c r="GC47" s="477"/>
      <c r="GD47" s="477"/>
      <c r="GE47" s="477"/>
      <c r="GF47" s="477"/>
      <c r="GG47" s="477"/>
      <c r="GH47" s="477"/>
      <c r="GI47" s="477"/>
      <c r="GJ47" s="477"/>
      <c r="GK47" s="477"/>
      <c r="GL47" s="477"/>
      <c r="GM47" s="477"/>
      <c r="GN47" s="477"/>
      <c r="GO47" s="477"/>
      <c r="GP47" s="477"/>
      <c r="GQ47" s="477"/>
      <c r="GR47" s="477"/>
      <c r="GS47" s="477"/>
      <c r="GT47" s="477"/>
      <c r="GU47" s="477"/>
      <c r="GV47" s="477"/>
      <c r="GW47" s="477"/>
      <c r="GX47" s="477"/>
      <c r="GY47" s="477"/>
      <c r="GZ47" s="477"/>
      <c r="HA47" s="477"/>
      <c r="HB47" s="477"/>
      <c r="HC47" s="477"/>
      <c r="HD47" s="477"/>
      <c r="HE47" s="477"/>
      <c r="HF47" s="477"/>
      <c r="HG47" s="477"/>
      <c r="HH47" s="477"/>
      <c r="HI47" s="477"/>
      <c r="HJ47" s="477"/>
      <c r="HK47" s="477"/>
      <c r="HL47" s="477"/>
      <c r="HM47" s="477"/>
      <c r="HN47" s="477"/>
      <c r="HO47" s="477"/>
      <c r="HP47" s="477"/>
      <c r="HQ47" s="477"/>
    </row>
    <row r="48" spans="1:225" ht="15" thickBot="1" x14ac:dyDescent="0.35">
      <c r="A48" s="480" t="s">
        <v>476</v>
      </c>
      <c r="B48" s="481">
        <v>0</v>
      </c>
      <c r="C48" s="500"/>
      <c r="D48" s="481">
        <v>0</v>
      </c>
      <c r="E48" s="500"/>
      <c r="F48" s="481">
        <v>0</v>
      </c>
      <c r="G48" s="500"/>
      <c r="H48" s="482" t="str">
        <f t="shared" si="2"/>
        <v>-</v>
      </c>
      <c r="I48" s="469"/>
      <c r="J48" s="469"/>
      <c r="K48" s="469"/>
      <c r="L48" s="469"/>
      <c r="M48" s="469"/>
      <c r="N48" s="469"/>
      <c r="O48" s="469"/>
      <c r="P48" s="469"/>
      <c r="Q48" s="469"/>
      <c r="R48" s="469"/>
      <c r="S48" s="469"/>
      <c r="T48" s="469"/>
      <c r="U48" s="469"/>
      <c r="V48" s="469"/>
      <c r="W48" s="469"/>
      <c r="X48" s="469"/>
      <c r="Y48" s="469"/>
      <c r="Z48" s="469"/>
      <c r="AA48" s="469"/>
      <c r="AB48" s="469"/>
      <c r="AC48" s="469"/>
      <c r="AD48" s="469"/>
      <c r="AE48" s="469"/>
      <c r="AF48" s="469"/>
      <c r="AG48" s="469"/>
      <c r="AH48" s="469"/>
      <c r="AI48" s="469"/>
      <c r="AJ48" s="469"/>
      <c r="AK48" s="469"/>
      <c r="AL48" s="469"/>
      <c r="AM48" s="469"/>
      <c r="AN48" s="469"/>
      <c r="AO48" s="469"/>
      <c r="AP48" s="469"/>
      <c r="AQ48" s="469"/>
      <c r="AR48" s="469"/>
      <c r="AS48" s="469"/>
      <c r="AT48" s="469"/>
      <c r="AU48" s="469"/>
      <c r="AV48" s="469"/>
      <c r="AW48" s="469"/>
      <c r="AX48" s="469"/>
      <c r="AY48" s="469"/>
      <c r="AZ48" s="469"/>
      <c r="BA48" s="469"/>
      <c r="BB48" s="469"/>
      <c r="BC48" s="469"/>
      <c r="BD48" s="469"/>
      <c r="BE48" s="469"/>
      <c r="BF48" s="469"/>
      <c r="BG48" s="469"/>
      <c r="BH48" s="469"/>
      <c r="BI48" s="469"/>
      <c r="BJ48" s="469"/>
      <c r="BK48" s="469"/>
      <c r="BL48" s="469"/>
      <c r="BM48" s="469"/>
      <c r="BN48" s="469"/>
      <c r="BO48" s="469"/>
      <c r="BP48" s="469"/>
      <c r="BQ48" s="469"/>
      <c r="BR48" s="469"/>
      <c r="BS48" s="469"/>
      <c r="BT48" s="469"/>
      <c r="BU48" s="469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 s="469"/>
      <c r="FS48" s="469"/>
      <c r="FT48" s="469"/>
      <c r="FU48" s="469"/>
      <c r="FV48" s="469"/>
      <c r="FW48" s="469"/>
      <c r="FX48" s="469"/>
      <c r="FY48" s="469"/>
      <c r="FZ48" s="469"/>
      <c r="GA48" s="469"/>
      <c r="GB48" s="469"/>
      <c r="GC48" s="469"/>
      <c r="GD48" s="469"/>
      <c r="GE48" s="469"/>
      <c r="GF48" s="469"/>
      <c r="GG48" s="469"/>
      <c r="GH48" s="469"/>
      <c r="GI48" s="469"/>
      <c r="GJ48" s="469"/>
      <c r="GK48" s="469"/>
      <c r="GL48" s="469"/>
      <c r="GM48" s="469"/>
      <c r="GN48" s="469"/>
      <c r="GO48" s="469"/>
      <c r="GP48" s="469"/>
      <c r="GQ48" s="469"/>
      <c r="GR48" s="469"/>
      <c r="GS48" s="469"/>
      <c r="GT48" s="469"/>
      <c r="GU48" s="469"/>
      <c r="GV48" s="469"/>
      <c r="GW48" s="469"/>
      <c r="GX48" s="469"/>
      <c r="GY48" s="469"/>
      <c r="GZ48" s="469"/>
      <c r="HA48" s="469"/>
      <c r="HB48" s="469"/>
      <c r="HC48" s="469"/>
      <c r="HD48" s="469"/>
      <c r="HE48" s="469"/>
      <c r="HF48" s="469"/>
      <c r="HG48" s="469"/>
      <c r="HH48" s="469"/>
      <c r="HI48" s="469"/>
      <c r="HJ48" s="469"/>
      <c r="HK48" s="469"/>
      <c r="HL48" s="469"/>
      <c r="HM48" s="469"/>
      <c r="HN48" s="469"/>
      <c r="HO48" s="469"/>
      <c r="HP48" s="469"/>
      <c r="HQ48" s="469"/>
    </row>
  </sheetData>
  <customSheetViews>
    <customSheetView guid="{5507C501-9942-4310-9E0E-987180BD1180}">
      <selection activeCell="L31" sqref="L31"/>
      <pageMargins left="0.7" right="0.7" top="0.75" bottom="0.75" header="0.3" footer="0.3"/>
    </customSheetView>
    <customSheetView guid="{54A0E5BB-5A66-4415-88CA-030F3BDE4337}">
      <selection activeCell="A4" sqref="A4:H4"/>
      <pageMargins left="0.7" right="0.7" top="0.75" bottom="0.75" header="0.3" footer="0.3"/>
    </customSheetView>
  </customSheetViews>
  <pageMargins left="0.7" right="0.7" top="0.75" bottom="0.75" header="0.3" footer="0.3"/>
  <pageSetup paperSize="9" scale="83" orientation="landscape" r:id="rId1"/>
  <ignoredErrors>
    <ignoredError sqref="C13:H14 C21:H23 C30:H32 H7:H11 H12 H15 H16:H20 H24 H25 H26 H27:H29 C35:H36 C33 E33 C34 E34 C40:H41 C37 E37 C38 E38 C39 E39 C48 C42 E42 C43 E43 C44 E44 C45 E45 C46 E46 C47 E47 E48 G33:H33 G34:H34 G37:H37 G38:H38 G39:H39 G42:H42 G43:H43 G44:H44 G45:H45 G46:H46 G47:H47 G48:H48" evalErro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I6"/>
  <sheetViews>
    <sheetView showGridLines="0" zoomScaleNormal="100" workbookViewId="0">
      <selection activeCell="D19" sqref="D19"/>
    </sheetView>
  </sheetViews>
  <sheetFormatPr defaultRowHeight="14.4" x14ac:dyDescent="0.3"/>
  <cols>
    <col min="1" max="1" width="24.5546875" customWidth="1"/>
    <col min="2" max="3" width="7.5546875" customWidth="1"/>
    <col min="4" max="4" width="9.6640625" customWidth="1"/>
    <col min="5" max="7" width="7.5546875" customWidth="1"/>
    <col min="8" max="8" width="9.5546875" customWidth="1"/>
    <col min="9" max="9" width="7" customWidth="1"/>
    <col min="10" max="10" width="15.5546875" customWidth="1"/>
    <col min="11" max="14" width="5.77734375" customWidth="1"/>
  </cols>
  <sheetData>
    <row r="1" spans="1:9" ht="14.4" customHeight="1" x14ac:dyDescent="0.3">
      <c r="A1" s="46" t="s">
        <v>249</v>
      </c>
      <c r="B1" s="46"/>
      <c r="C1" s="46"/>
      <c r="D1" s="46"/>
      <c r="E1" s="46"/>
      <c r="F1" s="46"/>
      <c r="G1" s="46"/>
      <c r="H1" s="46"/>
      <c r="I1" s="49" t="s">
        <v>3</v>
      </c>
    </row>
    <row r="2" spans="1:9" ht="14.4" customHeight="1" x14ac:dyDescent="0.3">
      <c r="A2" s="751" t="s">
        <v>5</v>
      </c>
      <c r="B2" s="753" t="s">
        <v>551</v>
      </c>
      <c r="C2" s="754"/>
      <c r="D2" s="754"/>
      <c r="E2" s="755"/>
      <c r="F2" s="754" t="s">
        <v>559</v>
      </c>
      <c r="G2" s="754"/>
      <c r="H2" s="754"/>
      <c r="I2" s="754"/>
    </row>
    <row r="3" spans="1:9" ht="15" customHeight="1" x14ac:dyDescent="0.3">
      <c r="A3" s="751"/>
      <c r="B3" s="756" t="s">
        <v>148</v>
      </c>
      <c r="C3" s="757"/>
      <c r="D3" s="757"/>
      <c r="E3" s="758" t="s">
        <v>6</v>
      </c>
      <c r="F3" s="757" t="s">
        <v>148</v>
      </c>
      <c r="G3" s="757"/>
      <c r="H3" s="757"/>
      <c r="I3" s="760" t="s">
        <v>6</v>
      </c>
    </row>
    <row r="4" spans="1:9" ht="20.399999999999999" x14ac:dyDescent="0.3">
      <c r="A4" s="752"/>
      <c r="B4" s="51" t="s">
        <v>311</v>
      </c>
      <c r="C4" s="52" t="s">
        <v>312</v>
      </c>
      <c r="D4" s="52" t="s">
        <v>313</v>
      </c>
      <c r="E4" s="759"/>
      <c r="F4" s="52" t="s">
        <v>311</v>
      </c>
      <c r="G4" s="52" t="s">
        <v>312</v>
      </c>
      <c r="H4" s="52" t="s">
        <v>313</v>
      </c>
      <c r="I4" s="761"/>
    </row>
    <row r="5" spans="1:9" ht="14.1" customHeight="1" x14ac:dyDescent="0.3">
      <c r="A5" s="53" t="s">
        <v>7</v>
      </c>
      <c r="B5" s="54">
        <v>51.9987803453933</v>
      </c>
      <c r="C5" s="55">
        <v>47.069083402817178</v>
      </c>
      <c r="D5" s="55">
        <v>51.285750959256767</v>
      </c>
      <c r="E5" s="56">
        <v>4</v>
      </c>
      <c r="F5" s="55">
        <v>50.699541218904123</v>
      </c>
      <c r="G5" s="55">
        <v>47.763588482791789</v>
      </c>
      <c r="H5" s="55">
        <v>49.667968411004075</v>
      </c>
      <c r="I5" s="57">
        <v>4</v>
      </c>
    </row>
    <row r="6" spans="1:9" ht="14.1" customHeight="1" thickBot="1" x14ac:dyDescent="0.35">
      <c r="A6" s="58" t="s">
        <v>8</v>
      </c>
      <c r="B6" s="59">
        <v>48.0012196546067</v>
      </c>
      <c r="C6" s="60">
        <v>52.930916597182822</v>
      </c>
      <c r="D6" s="60">
        <v>48.714249040743233</v>
      </c>
      <c r="E6" s="61">
        <v>4</v>
      </c>
      <c r="F6" s="60">
        <v>49.300458781095877</v>
      </c>
      <c r="G6" s="60">
        <v>52.236411517208211</v>
      </c>
      <c r="H6" s="60">
        <v>50.332031588995925</v>
      </c>
      <c r="I6" s="62">
        <v>4</v>
      </c>
    </row>
  </sheetData>
  <customSheetViews>
    <customSheetView guid="{5507C501-9942-4310-9E0E-987180BD1180}">
      <selection activeCell="F1" sqref="F1:I1"/>
      <pageMargins left="0.7" right="0.7" top="0.75" bottom="0.75" header="0.3" footer="0.3"/>
    </customSheetView>
    <customSheetView guid="{54A0E5BB-5A66-4415-88CA-030F3BDE4337}">
      <selection activeCell="F14" sqref="F14"/>
      <pageMargins left="0.7" right="0.7" top="0.75" bottom="0.75" header="0.3" footer="0.3"/>
      <pageSetup paperSize="9" orientation="portrait" verticalDpi="0" r:id="rId1"/>
    </customSheetView>
  </customSheetViews>
  <mergeCells count="7">
    <mergeCell ref="A2:A4"/>
    <mergeCell ref="B2:E2"/>
    <mergeCell ref="F2:I2"/>
    <mergeCell ref="B3:D3"/>
    <mergeCell ref="E3:E4"/>
    <mergeCell ref="F3:H3"/>
    <mergeCell ref="I3:I4"/>
  </mergeCells>
  <pageMargins left="0.7" right="0.7" top="0.75" bottom="0.75" header="0.3" footer="0.3"/>
  <pageSetup paperSize="9" scale="97" orientation="portrait" verticalDpi="0" r:id="rId2"/>
  <colBreaks count="1" manualBreakCount="1">
    <brk id="9" max="1048575" man="1"/>
  </colBreaks>
  <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sheetPr codeName="Sheet129"/>
  <dimension ref="A1:FQ31"/>
  <sheetViews>
    <sheetView showGridLines="0" zoomScaleNormal="100" workbookViewId="0">
      <selection activeCell="A2" sqref="A2"/>
    </sheetView>
  </sheetViews>
  <sheetFormatPr defaultColWidth="9.109375" defaultRowHeight="12" x14ac:dyDescent="0.25"/>
  <cols>
    <col min="1" max="1" width="58.5546875" style="3" customWidth="1"/>
    <col min="2" max="10" width="7.6640625" style="3" customWidth="1"/>
    <col min="11" max="11" width="8.33203125" style="3" customWidth="1"/>
    <col min="12" max="16384" width="9.109375" style="3"/>
  </cols>
  <sheetData>
    <row r="1" spans="1:173" ht="14.4" x14ac:dyDescent="0.3">
      <c r="K1" s="403" t="s">
        <v>559</v>
      </c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1:173" ht="15" customHeight="1" x14ac:dyDescent="0.3">
      <c r="A2" s="46" t="s">
        <v>256</v>
      </c>
      <c r="B2" s="298"/>
      <c r="C2" s="46"/>
      <c r="D2" s="46"/>
      <c r="E2" s="46"/>
      <c r="F2" s="46"/>
      <c r="G2" s="46"/>
      <c r="H2" s="46"/>
      <c r="I2" s="46"/>
      <c r="J2" s="46"/>
      <c r="K2" s="256" t="s">
        <v>381</v>
      </c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</row>
    <row r="3" spans="1:173" ht="15" customHeight="1" x14ac:dyDescent="0.3">
      <c r="A3" s="865" t="s">
        <v>147</v>
      </c>
      <c r="B3" s="867" t="s">
        <v>150</v>
      </c>
      <c r="C3" s="868"/>
      <c r="D3" s="868"/>
      <c r="E3" s="859" t="s">
        <v>133</v>
      </c>
      <c r="F3" s="867" t="s">
        <v>151</v>
      </c>
      <c r="G3" s="868"/>
      <c r="H3" s="868"/>
      <c r="I3" s="859" t="s">
        <v>152</v>
      </c>
      <c r="J3" s="767" t="s">
        <v>153</v>
      </c>
      <c r="K3" s="765" t="s">
        <v>382</v>
      </c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</row>
    <row r="4" spans="1:173" ht="14.4" x14ac:dyDescent="0.3">
      <c r="A4" s="866"/>
      <c r="B4" s="156">
        <v>1</v>
      </c>
      <c r="C4" s="274">
        <v>2</v>
      </c>
      <c r="D4" s="274">
        <v>3</v>
      </c>
      <c r="E4" s="869"/>
      <c r="F4" s="274">
        <v>1</v>
      </c>
      <c r="G4" s="274">
        <v>2</v>
      </c>
      <c r="H4" s="274">
        <v>3</v>
      </c>
      <c r="I4" s="869"/>
      <c r="J4" s="768"/>
      <c r="K4" s="77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</row>
    <row r="5" spans="1:173" ht="14.4" x14ac:dyDescent="0.3">
      <c r="A5" s="105" t="s">
        <v>154</v>
      </c>
      <c r="B5" s="337">
        <f>SUM(B6:B26)</f>
        <v>2762.6150000000007</v>
      </c>
      <c r="C5" s="338">
        <f t="shared" ref="C5:D5" si="0">SUM(C6:C26)</f>
        <v>478.00800000000004</v>
      </c>
      <c r="D5" s="338">
        <f t="shared" si="0"/>
        <v>151.27699999999996</v>
      </c>
      <c r="E5" s="339">
        <f t="shared" ref="E5:E31" si="1">B5+C5+D5</f>
        <v>3391.9000000000005</v>
      </c>
      <c r="F5" s="338">
        <f>SUM(F6:F26)</f>
        <v>32.899000000000001</v>
      </c>
      <c r="G5" s="338">
        <f t="shared" ref="G5" si="2">SUM(G6:G26)</f>
        <v>44.954000000000001</v>
      </c>
      <c r="H5" s="338">
        <f t="shared" ref="H5" si="3">SUM(H6:H26)</f>
        <v>94.974000000000018</v>
      </c>
      <c r="I5" s="339">
        <f t="shared" ref="I5:I31" si="4">F5+G5+H5</f>
        <v>172.82700000000003</v>
      </c>
      <c r="J5" s="340">
        <f t="shared" ref="J5:J31" si="5">IF(E5&lt;&gt;0,D5*100/E5,"-")</f>
        <v>4.4599487013178436</v>
      </c>
      <c r="K5" s="340">
        <f t="shared" ref="K5:K31" si="6">IF(D5&lt;&gt;0,H5*100/D5,"-")</f>
        <v>62.781519993125222</v>
      </c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</row>
    <row r="6" spans="1:173" ht="14.4" x14ac:dyDescent="0.3">
      <c r="A6" s="332" t="s">
        <v>155</v>
      </c>
      <c r="B6" s="333">
        <v>39.283999999999999</v>
      </c>
      <c r="C6" s="334">
        <v>22.033000000000001</v>
      </c>
      <c r="D6" s="334">
        <v>3.56</v>
      </c>
      <c r="E6" s="335">
        <f t="shared" si="1"/>
        <v>64.876999999999995</v>
      </c>
      <c r="F6" s="334">
        <v>0.47899999999999998</v>
      </c>
      <c r="G6" s="334">
        <v>1.24</v>
      </c>
      <c r="H6" s="334">
        <v>2.9580000000000002</v>
      </c>
      <c r="I6" s="335">
        <f t="shared" si="4"/>
        <v>4.6769999999999996</v>
      </c>
      <c r="J6" s="336">
        <f t="shared" si="5"/>
        <v>5.4873067496955779</v>
      </c>
      <c r="K6" s="336">
        <f t="shared" si="6"/>
        <v>83.089887640449433</v>
      </c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</row>
    <row r="7" spans="1:173" ht="14.4" x14ac:dyDescent="0.3">
      <c r="A7" s="316" t="s">
        <v>156</v>
      </c>
      <c r="B7" s="317">
        <v>15.321</v>
      </c>
      <c r="C7" s="318">
        <v>3.6629999999999998</v>
      </c>
      <c r="D7" s="318">
        <v>2.3940000000000001</v>
      </c>
      <c r="E7" s="319">
        <f t="shared" si="1"/>
        <v>21.378</v>
      </c>
      <c r="F7" s="318">
        <v>0.124</v>
      </c>
      <c r="G7" s="318">
        <v>0.42399999999999999</v>
      </c>
      <c r="H7" s="318">
        <v>0.67500000000000004</v>
      </c>
      <c r="I7" s="319">
        <f t="shared" si="4"/>
        <v>1.2230000000000001</v>
      </c>
      <c r="J7" s="320">
        <f t="shared" si="5"/>
        <v>11.198428290766209</v>
      </c>
      <c r="K7" s="320">
        <f t="shared" si="6"/>
        <v>28.195488721804509</v>
      </c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</row>
    <row r="8" spans="1:173" ht="14.4" x14ac:dyDescent="0.3">
      <c r="A8" s="316" t="s">
        <v>157</v>
      </c>
      <c r="B8" s="317">
        <v>367.161</v>
      </c>
      <c r="C8" s="318">
        <v>67.061000000000007</v>
      </c>
      <c r="D8" s="318">
        <v>50.444000000000003</v>
      </c>
      <c r="E8" s="319">
        <f t="shared" si="1"/>
        <v>484.666</v>
      </c>
      <c r="F8" s="318">
        <v>4.3140000000000001</v>
      </c>
      <c r="G8" s="318">
        <v>6.6870000000000003</v>
      </c>
      <c r="H8" s="318">
        <v>33.661000000000001</v>
      </c>
      <c r="I8" s="319">
        <f t="shared" si="4"/>
        <v>44.662000000000006</v>
      </c>
      <c r="J8" s="320">
        <f t="shared" si="5"/>
        <v>10.407992308104964</v>
      </c>
      <c r="K8" s="320">
        <f t="shared" si="6"/>
        <v>66.72944255015463</v>
      </c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</row>
    <row r="9" spans="1:173" ht="24" x14ac:dyDescent="0.3">
      <c r="A9" s="316" t="s">
        <v>158</v>
      </c>
      <c r="B9" s="317">
        <v>351.52600000000001</v>
      </c>
      <c r="C9" s="318">
        <v>3.234</v>
      </c>
      <c r="D9" s="318">
        <v>0.46800000000000003</v>
      </c>
      <c r="E9" s="319">
        <f t="shared" si="1"/>
        <v>355.22800000000001</v>
      </c>
      <c r="F9" s="318">
        <v>3.754</v>
      </c>
      <c r="G9" s="318">
        <v>0.5</v>
      </c>
      <c r="H9" s="318">
        <v>0.46800000000000003</v>
      </c>
      <c r="I9" s="319">
        <f t="shared" si="4"/>
        <v>4.7219999999999995</v>
      </c>
      <c r="J9" s="320">
        <f t="shared" si="5"/>
        <v>0.13174637134460121</v>
      </c>
      <c r="K9" s="320">
        <f t="shared" si="6"/>
        <v>100</v>
      </c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</row>
    <row r="10" spans="1:173" ht="24" x14ac:dyDescent="0.3">
      <c r="A10" s="316" t="s">
        <v>159</v>
      </c>
      <c r="B10" s="317">
        <v>21.452999999999999</v>
      </c>
      <c r="C10" s="318">
        <v>3.444</v>
      </c>
      <c r="D10" s="318">
        <v>1.0249999999999999</v>
      </c>
      <c r="E10" s="319">
        <f t="shared" si="1"/>
        <v>25.921999999999997</v>
      </c>
      <c r="F10" s="318">
        <v>0.24399999999999999</v>
      </c>
      <c r="G10" s="318">
        <v>0.188</v>
      </c>
      <c r="H10" s="318">
        <v>0.50700000000000001</v>
      </c>
      <c r="I10" s="319">
        <f t="shared" si="4"/>
        <v>0.93900000000000006</v>
      </c>
      <c r="J10" s="320">
        <f t="shared" si="5"/>
        <v>3.9541702029164414</v>
      </c>
      <c r="K10" s="320">
        <f t="shared" si="6"/>
        <v>49.463414634146346</v>
      </c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</row>
    <row r="11" spans="1:173" ht="14.4" x14ac:dyDescent="0.3">
      <c r="A11" s="316" t="s">
        <v>160</v>
      </c>
      <c r="B11" s="317">
        <v>239.31</v>
      </c>
      <c r="C11" s="318">
        <v>147.375</v>
      </c>
      <c r="D11" s="318">
        <v>15.256</v>
      </c>
      <c r="E11" s="319">
        <f t="shared" si="1"/>
        <v>401.94100000000003</v>
      </c>
      <c r="F11" s="318">
        <v>3.07</v>
      </c>
      <c r="G11" s="318">
        <v>14.103999999999999</v>
      </c>
      <c r="H11" s="318">
        <v>6.0019999999999998</v>
      </c>
      <c r="I11" s="319">
        <f t="shared" si="4"/>
        <v>23.175999999999998</v>
      </c>
      <c r="J11" s="320">
        <f t="shared" si="5"/>
        <v>3.7955819386427354</v>
      </c>
      <c r="K11" s="320">
        <f t="shared" si="6"/>
        <v>39.341898269533296</v>
      </c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</row>
    <row r="12" spans="1:173" ht="14.4" x14ac:dyDescent="0.3">
      <c r="A12" s="316" t="s">
        <v>161</v>
      </c>
      <c r="B12" s="317">
        <v>536.36300000000006</v>
      </c>
      <c r="C12" s="318">
        <v>84.537999999999997</v>
      </c>
      <c r="D12" s="318">
        <v>45.015000000000001</v>
      </c>
      <c r="E12" s="319">
        <f t="shared" si="1"/>
        <v>665.91600000000005</v>
      </c>
      <c r="F12" s="318">
        <v>5.8239999999999998</v>
      </c>
      <c r="G12" s="318">
        <v>6.4740000000000002</v>
      </c>
      <c r="H12" s="318">
        <v>30.469000000000001</v>
      </c>
      <c r="I12" s="319">
        <f t="shared" si="4"/>
        <v>42.767000000000003</v>
      </c>
      <c r="J12" s="320">
        <f t="shared" si="5"/>
        <v>6.7598616041662911</v>
      </c>
      <c r="K12" s="320">
        <f t="shared" si="6"/>
        <v>67.686326779962229</v>
      </c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</row>
    <row r="13" spans="1:173" ht="14.4" x14ac:dyDescent="0.3">
      <c r="A13" s="316" t="s">
        <v>162</v>
      </c>
      <c r="B13" s="317">
        <v>115.90600000000001</v>
      </c>
      <c r="C13" s="318">
        <v>21.701000000000001</v>
      </c>
      <c r="D13" s="318">
        <v>7.5149999999999997</v>
      </c>
      <c r="E13" s="319">
        <f t="shared" si="1"/>
        <v>145.12199999999999</v>
      </c>
      <c r="F13" s="318">
        <v>1.524</v>
      </c>
      <c r="G13" s="318">
        <v>3.4060000000000001</v>
      </c>
      <c r="H13" s="318">
        <v>5.7350000000000003</v>
      </c>
      <c r="I13" s="319">
        <f t="shared" si="4"/>
        <v>10.664999999999999</v>
      </c>
      <c r="J13" s="320">
        <f t="shared" si="5"/>
        <v>5.1784016207053378</v>
      </c>
      <c r="K13" s="320">
        <f t="shared" si="6"/>
        <v>76.314038589487694</v>
      </c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</row>
    <row r="14" spans="1:173" ht="24" x14ac:dyDescent="0.3">
      <c r="A14" s="316" t="s">
        <v>163</v>
      </c>
      <c r="B14" s="317">
        <v>100.627</v>
      </c>
      <c r="C14" s="318">
        <v>22.684999999999999</v>
      </c>
      <c r="D14" s="318">
        <v>2.835</v>
      </c>
      <c r="E14" s="319">
        <f t="shared" si="1"/>
        <v>126.14699999999999</v>
      </c>
      <c r="F14" s="318">
        <v>1.198</v>
      </c>
      <c r="G14" s="318">
        <v>2.7839999999999998</v>
      </c>
      <c r="H14" s="318">
        <v>1.2270000000000001</v>
      </c>
      <c r="I14" s="319">
        <f t="shared" si="4"/>
        <v>5.2089999999999996</v>
      </c>
      <c r="J14" s="320">
        <f t="shared" si="5"/>
        <v>2.2473780589312469</v>
      </c>
      <c r="K14" s="320">
        <f t="shared" si="6"/>
        <v>43.280423280423285</v>
      </c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</row>
    <row r="15" spans="1:173" ht="14.4" x14ac:dyDescent="0.3">
      <c r="A15" s="316" t="s">
        <v>164</v>
      </c>
      <c r="B15" s="317">
        <v>44.515000000000001</v>
      </c>
      <c r="C15" s="318">
        <v>25.030999999999999</v>
      </c>
      <c r="D15" s="318">
        <v>4.5810000000000004</v>
      </c>
      <c r="E15" s="319">
        <f t="shared" si="1"/>
        <v>74.126999999999995</v>
      </c>
      <c r="F15" s="318">
        <v>0.70399999999999996</v>
      </c>
      <c r="G15" s="318">
        <v>2.6480000000000001</v>
      </c>
      <c r="H15" s="318">
        <v>2.2229999999999999</v>
      </c>
      <c r="I15" s="319">
        <f t="shared" si="4"/>
        <v>5.5750000000000002</v>
      </c>
      <c r="J15" s="320">
        <f t="shared" si="5"/>
        <v>6.1799344368448752</v>
      </c>
      <c r="K15" s="320">
        <f t="shared" si="6"/>
        <v>48.52652259332023</v>
      </c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</row>
    <row r="16" spans="1:173" ht="14.4" x14ac:dyDescent="0.3">
      <c r="A16" s="316" t="s">
        <v>165</v>
      </c>
      <c r="B16" s="317">
        <v>191.82900000000001</v>
      </c>
      <c r="C16" s="318">
        <v>1.0349999999999999</v>
      </c>
      <c r="D16" s="318">
        <v>0</v>
      </c>
      <c r="E16" s="319">
        <f t="shared" si="1"/>
        <v>192.864</v>
      </c>
      <c r="F16" s="318">
        <v>2.6579999999999999</v>
      </c>
      <c r="G16" s="318">
        <v>5.1999999999999998E-2</v>
      </c>
      <c r="H16" s="318">
        <v>0</v>
      </c>
      <c r="I16" s="319">
        <f t="shared" si="4"/>
        <v>2.71</v>
      </c>
      <c r="J16" s="320">
        <f t="shared" si="5"/>
        <v>0</v>
      </c>
      <c r="K16" s="320" t="str">
        <f t="shared" si="6"/>
        <v>-</v>
      </c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</row>
    <row r="17" spans="1:173" ht="14.4" x14ac:dyDescent="0.3">
      <c r="A17" s="316" t="s">
        <v>166</v>
      </c>
      <c r="B17" s="317">
        <v>44.148000000000003</v>
      </c>
      <c r="C17" s="318">
        <v>10.683</v>
      </c>
      <c r="D17" s="318">
        <v>6.5810000000000004</v>
      </c>
      <c r="E17" s="319">
        <f t="shared" si="1"/>
        <v>61.412000000000006</v>
      </c>
      <c r="F17" s="318">
        <v>0.62</v>
      </c>
      <c r="G17" s="318">
        <v>1.01</v>
      </c>
      <c r="H17" s="318">
        <v>4.7060000000000004</v>
      </c>
      <c r="I17" s="319">
        <f t="shared" si="4"/>
        <v>6.3360000000000003</v>
      </c>
      <c r="J17" s="320">
        <f t="shared" si="5"/>
        <v>10.716146681430338</v>
      </c>
      <c r="K17" s="320">
        <f t="shared" si="6"/>
        <v>71.508889226561308</v>
      </c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</row>
    <row r="18" spans="1:173" ht="14.4" x14ac:dyDescent="0.3">
      <c r="A18" s="316" t="s">
        <v>167</v>
      </c>
      <c r="B18" s="317">
        <v>60.33</v>
      </c>
      <c r="C18" s="318">
        <v>41.031999999999996</v>
      </c>
      <c r="D18" s="318">
        <v>1.9790000000000001</v>
      </c>
      <c r="E18" s="319">
        <f t="shared" si="1"/>
        <v>103.34099999999999</v>
      </c>
      <c r="F18" s="318">
        <v>0.70399999999999996</v>
      </c>
      <c r="G18" s="318">
        <v>3.1520000000000001</v>
      </c>
      <c r="H18" s="318">
        <v>1.52</v>
      </c>
      <c r="I18" s="319">
        <f t="shared" si="4"/>
        <v>5.3759999999999994</v>
      </c>
      <c r="J18" s="320">
        <f t="shared" si="5"/>
        <v>1.9150192082522912</v>
      </c>
      <c r="K18" s="320">
        <f t="shared" si="6"/>
        <v>76.806467913087417</v>
      </c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</row>
    <row r="19" spans="1:173" ht="14.4" x14ac:dyDescent="0.3">
      <c r="A19" s="316" t="s">
        <v>168</v>
      </c>
      <c r="B19" s="317">
        <v>23.138000000000002</v>
      </c>
      <c r="C19" s="318">
        <v>1.25</v>
      </c>
      <c r="D19" s="318">
        <v>2.2599999999999998</v>
      </c>
      <c r="E19" s="319">
        <f t="shared" si="1"/>
        <v>26.648000000000003</v>
      </c>
      <c r="F19" s="318">
        <v>0.23200000000000001</v>
      </c>
      <c r="G19" s="318">
        <v>6.8000000000000005E-2</v>
      </c>
      <c r="H19" s="318">
        <v>1.7110000000000001</v>
      </c>
      <c r="I19" s="319">
        <f t="shared" si="4"/>
        <v>2.0110000000000001</v>
      </c>
      <c r="J19" s="320">
        <f t="shared" si="5"/>
        <v>8.4809366556589598</v>
      </c>
      <c r="K19" s="320">
        <f t="shared" si="6"/>
        <v>75.707964601769916</v>
      </c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</row>
    <row r="20" spans="1:173" ht="14.4" x14ac:dyDescent="0.3">
      <c r="A20" s="316" t="s">
        <v>169</v>
      </c>
      <c r="B20" s="317">
        <v>477.358</v>
      </c>
      <c r="C20" s="318">
        <v>16.437999999999999</v>
      </c>
      <c r="D20" s="318">
        <v>1.92</v>
      </c>
      <c r="E20" s="319">
        <f t="shared" si="1"/>
        <v>495.71600000000001</v>
      </c>
      <c r="F20" s="318">
        <v>6.62</v>
      </c>
      <c r="G20" s="318">
        <v>1.8380000000000001</v>
      </c>
      <c r="H20" s="318">
        <v>0.84199999999999997</v>
      </c>
      <c r="I20" s="319">
        <f t="shared" si="4"/>
        <v>9.3000000000000007</v>
      </c>
      <c r="J20" s="320">
        <f t="shared" si="5"/>
        <v>0.38731854529609694</v>
      </c>
      <c r="K20" s="320">
        <f t="shared" si="6"/>
        <v>43.854166666666671</v>
      </c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</row>
    <row r="21" spans="1:173" ht="14.4" x14ac:dyDescent="0.3">
      <c r="A21" s="316" t="s">
        <v>170</v>
      </c>
      <c r="B21" s="317">
        <v>2.992</v>
      </c>
      <c r="C21" s="318">
        <v>0.03</v>
      </c>
      <c r="D21" s="318">
        <v>1.153</v>
      </c>
      <c r="E21" s="319">
        <f t="shared" si="1"/>
        <v>4.1749999999999998</v>
      </c>
      <c r="F21" s="318">
        <v>4.1000000000000002E-2</v>
      </c>
      <c r="G21" s="318">
        <v>2E-3</v>
      </c>
      <c r="H21" s="318">
        <v>0.60199999999999998</v>
      </c>
      <c r="I21" s="319">
        <f t="shared" si="4"/>
        <v>0.64500000000000002</v>
      </c>
      <c r="J21" s="320">
        <f t="shared" si="5"/>
        <v>27.616766467065869</v>
      </c>
      <c r="K21" s="320">
        <f t="shared" si="6"/>
        <v>52.211621856027747</v>
      </c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</row>
    <row r="22" spans="1:173" ht="14.4" x14ac:dyDescent="0.3">
      <c r="A22" s="316" t="s">
        <v>171</v>
      </c>
      <c r="B22" s="317">
        <v>115.991</v>
      </c>
      <c r="C22" s="318">
        <v>3.16</v>
      </c>
      <c r="D22" s="318">
        <v>1.1459999999999999</v>
      </c>
      <c r="E22" s="319">
        <f t="shared" si="1"/>
        <v>120.297</v>
      </c>
      <c r="F22" s="318">
        <v>0.65300000000000002</v>
      </c>
      <c r="G22" s="318">
        <v>0.18099999999999999</v>
      </c>
      <c r="H22" s="318">
        <v>1.0209999999999999</v>
      </c>
      <c r="I22" s="319">
        <f t="shared" si="4"/>
        <v>1.855</v>
      </c>
      <c r="J22" s="320">
        <f t="shared" si="5"/>
        <v>0.95264221052894082</v>
      </c>
      <c r="K22" s="320">
        <f t="shared" si="6"/>
        <v>89.092495636998251</v>
      </c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</row>
    <row r="23" spans="1:173" ht="14.4" x14ac:dyDescent="0.3">
      <c r="A23" s="316" t="s">
        <v>172</v>
      </c>
      <c r="B23" s="317">
        <v>10.266</v>
      </c>
      <c r="C23" s="318">
        <v>2.3119999999999998</v>
      </c>
      <c r="D23" s="318">
        <v>2.9729999999999999</v>
      </c>
      <c r="E23" s="319">
        <f t="shared" si="1"/>
        <v>15.550999999999998</v>
      </c>
      <c r="F23" s="318">
        <v>8.1000000000000003E-2</v>
      </c>
      <c r="G23" s="318">
        <v>0.11600000000000001</v>
      </c>
      <c r="H23" s="318">
        <v>0.49099999999999999</v>
      </c>
      <c r="I23" s="319">
        <f t="shared" si="4"/>
        <v>0.68799999999999994</v>
      </c>
      <c r="J23" s="320">
        <f t="shared" si="5"/>
        <v>19.117741624332844</v>
      </c>
      <c r="K23" s="320">
        <f t="shared" si="6"/>
        <v>16.51530440632358</v>
      </c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</row>
    <row r="24" spans="1:173" ht="14.4" x14ac:dyDescent="0.3">
      <c r="A24" s="316" t="s">
        <v>173</v>
      </c>
      <c r="B24" s="317">
        <v>5.0970000000000004</v>
      </c>
      <c r="C24" s="318">
        <v>1.3029999999999999</v>
      </c>
      <c r="D24" s="318">
        <v>0.17199999999999999</v>
      </c>
      <c r="E24" s="319">
        <f t="shared" si="1"/>
        <v>6.5720000000000001</v>
      </c>
      <c r="F24" s="318">
        <v>5.5E-2</v>
      </c>
      <c r="G24" s="318">
        <v>0.08</v>
      </c>
      <c r="H24" s="318">
        <v>0.156</v>
      </c>
      <c r="I24" s="319">
        <f t="shared" si="4"/>
        <v>0.29100000000000004</v>
      </c>
      <c r="J24" s="320">
        <f t="shared" si="5"/>
        <v>2.6171637248934876</v>
      </c>
      <c r="K24" s="320">
        <f t="shared" si="6"/>
        <v>90.697674418604663</v>
      </c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</row>
    <row r="25" spans="1:173" ht="24" x14ac:dyDescent="0.3">
      <c r="A25" s="316" t="s">
        <v>174</v>
      </c>
      <c r="B25" s="317">
        <v>0</v>
      </c>
      <c r="C25" s="318">
        <v>0</v>
      </c>
      <c r="D25" s="318">
        <v>0</v>
      </c>
      <c r="E25" s="319">
        <f t="shared" si="1"/>
        <v>0</v>
      </c>
      <c r="F25" s="318">
        <v>0</v>
      </c>
      <c r="G25" s="318">
        <v>0</v>
      </c>
      <c r="H25" s="318">
        <v>0</v>
      </c>
      <c r="I25" s="319">
        <f t="shared" si="4"/>
        <v>0</v>
      </c>
      <c r="J25" s="320" t="str">
        <f t="shared" si="5"/>
        <v>-</v>
      </c>
      <c r="K25" s="320" t="str">
        <f t="shared" si="6"/>
        <v>-</v>
      </c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</row>
    <row r="26" spans="1:173" ht="14.4" x14ac:dyDescent="0.3">
      <c r="A26" s="321" t="s">
        <v>175</v>
      </c>
      <c r="B26" s="322">
        <v>0</v>
      </c>
      <c r="C26" s="323">
        <v>0</v>
      </c>
      <c r="D26" s="323">
        <v>0</v>
      </c>
      <c r="E26" s="324">
        <f t="shared" si="1"/>
        <v>0</v>
      </c>
      <c r="F26" s="323">
        <v>0</v>
      </c>
      <c r="G26" s="323">
        <v>0</v>
      </c>
      <c r="H26" s="323">
        <v>0</v>
      </c>
      <c r="I26" s="324">
        <f t="shared" si="4"/>
        <v>0</v>
      </c>
      <c r="J26" s="325" t="str">
        <f t="shared" si="5"/>
        <v>-</v>
      </c>
      <c r="K26" s="325" t="str">
        <f t="shared" si="6"/>
        <v>-</v>
      </c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</row>
    <row r="27" spans="1:173" ht="14.4" x14ac:dyDescent="0.3">
      <c r="A27" s="105" t="s">
        <v>176</v>
      </c>
      <c r="B27" s="337">
        <f>SUM(B28:B30)</f>
        <v>2951.3830000000003</v>
      </c>
      <c r="C27" s="338">
        <f t="shared" ref="C27:D27" si="7">SUM(C28:C30)</f>
        <v>253.86700000000002</v>
      </c>
      <c r="D27" s="338">
        <f t="shared" si="7"/>
        <v>98.010999999999996</v>
      </c>
      <c r="E27" s="339">
        <f t="shared" si="1"/>
        <v>3303.2610000000004</v>
      </c>
      <c r="F27" s="338">
        <f>SUM(F28:F30)</f>
        <v>36.838000000000001</v>
      </c>
      <c r="G27" s="338">
        <f t="shared" ref="G27" si="8">SUM(G28:G30)</f>
        <v>34.514000000000003</v>
      </c>
      <c r="H27" s="338">
        <f t="shared" ref="H27" si="9">SUM(H28:H30)</f>
        <v>82.992999999999995</v>
      </c>
      <c r="I27" s="339">
        <f t="shared" si="4"/>
        <v>154.345</v>
      </c>
      <c r="J27" s="340">
        <f t="shared" si="5"/>
        <v>2.9670982704666691</v>
      </c>
      <c r="K27" s="340">
        <f t="shared" si="6"/>
        <v>84.677230106824737</v>
      </c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</row>
    <row r="28" spans="1:173" ht="14.4" x14ac:dyDescent="0.3">
      <c r="A28" s="332" t="s">
        <v>177</v>
      </c>
      <c r="B28" s="333">
        <v>1902.261</v>
      </c>
      <c r="C28" s="334">
        <v>180.648</v>
      </c>
      <c r="D28" s="334">
        <v>76.036000000000001</v>
      </c>
      <c r="E28" s="335">
        <f t="shared" si="1"/>
        <v>2158.9450000000002</v>
      </c>
      <c r="F28" s="334">
        <v>25.934000000000001</v>
      </c>
      <c r="G28" s="334">
        <v>23.93</v>
      </c>
      <c r="H28" s="334">
        <v>66.103999999999999</v>
      </c>
      <c r="I28" s="335">
        <f t="shared" si="4"/>
        <v>115.968</v>
      </c>
      <c r="J28" s="336">
        <f t="shared" si="5"/>
        <v>3.5219053750790317</v>
      </c>
      <c r="K28" s="336">
        <f t="shared" si="6"/>
        <v>86.937766321216259</v>
      </c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</row>
    <row r="29" spans="1:173" ht="14.4" x14ac:dyDescent="0.3">
      <c r="A29" s="316" t="s">
        <v>178</v>
      </c>
      <c r="B29" s="317">
        <v>926.10599999999999</v>
      </c>
      <c r="C29" s="318">
        <v>50.24</v>
      </c>
      <c r="D29" s="318">
        <v>6.1550000000000002</v>
      </c>
      <c r="E29" s="319">
        <f t="shared" si="1"/>
        <v>982.50099999999998</v>
      </c>
      <c r="F29" s="318">
        <v>9.3699999999999992</v>
      </c>
      <c r="G29" s="318">
        <v>7.5789999999999997</v>
      </c>
      <c r="H29" s="318">
        <v>4.2670000000000003</v>
      </c>
      <c r="I29" s="319">
        <f t="shared" si="4"/>
        <v>21.215999999999998</v>
      </c>
      <c r="J29" s="320">
        <f t="shared" si="5"/>
        <v>0.62646246670486849</v>
      </c>
      <c r="K29" s="320">
        <f t="shared" si="6"/>
        <v>69.325751421608459</v>
      </c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</row>
    <row r="30" spans="1:173" ht="14.4" x14ac:dyDescent="0.3">
      <c r="A30" s="326" t="s">
        <v>179</v>
      </c>
      <c r="B30" s="327">
        <v>123.01600000000001</v>
      </c>
      <c r="C30" s="328">
        <v>22.978999999999999</v>
      </c>
      <c r="D30" s="328">
        <v>15.82</v>
      </c>
      <c r="E30" s="329">
        <f t="shared" si="1"/>
        <v>161.815</v>
      </c>
      <c r="F30" s="328">
        <v>1.534</v>
      </c>
      <c r="G30" s="328">
        <v>3.0049999999999999</v>
      </c>
      <c r="H30" s="328">
        <v>12.622</v>
      </c>
      <c r="I30" s="329">
        <f t="shared" si="4"/>
        <v>17.161000000000001</v>
      </c>
      <c r="J30" s="330">
        <f t="shared" si="5"/>
        <v>9.776596730834596</v>
      </c>
      <c r="K30" s="330">
        <f t="shared" si="6"/>
        <v>79.785082174462701</v>
      </c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</row>
    <row r="31" spans="1:173" ht="15" thickBot="1" x14ac:dyDescent="0.35">
      <c r="A31" s="81" t="s">
        <v>180</v>
      </c>
      <c r="B31" s="82">
        <f>B5+B27</f>
        <v>5713.9980000000014</v>
      </c>
      <c r="C31" s="296">
        <f t="shared" ref="C31:D31" si="10">C5+C27</f>
        <v>731.875</v>
      </c>
      <c r="D31" s="296">
        <f t="shared" si="10"/>
        <v>249.28799999999995</v>
      </c>
      <c r="E31" s="295">
        <f t="shared" si="1"/>
        <v>6695.161000000001</v>
      </c>
      <c r="F31" s="296">
        <f>F5+F27</f>
        <v>69.736999999999995</v>
      </c>
      <c r="G31" s="296">
        <f t="shared" ref="G31:H31" si="11">G5+G27</f>
        <v>79.468000000000004</v>
      </c>
      <c r="H31" s="296">
        <f t="shared" si="11"/>
        <v>177.96700000000001</v>
      </c>
      <c r="I31" s="295">
        <f t="shared" si="4"/>
        <v>327.17200000000003</v>
      </c>
      <c r="J31" s="331">
        <f t="shared" si="5"/>
        <v>3.7234056059294156</v>
      </c>
      <c r="K31" s="331">
        <f t="shared" si="6"/>
        <v>71.390119059080277</v>
      </c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</row>
  </sheetData>
  <mergeCells count="7">
    <mergeCell ref="K3:K4"/>
    <mergeCell ref="A3:A4"/>
    <mergeCell ref="B3:D3"/>
    <mergeCell ref="E3:E4"/>
    <mergeCell ref="F3:H3"/>
    <mergeCell ref="I3:I4"/>
    <mergeCell ref="J3:J4"/>
  </mergeCells>
  <pageMargins left="0.7" right="0.7" top="0.75" bottom="0.75" header="0.3" footer="0.3"/>
  <pageSetup paperSize="9" scale="85" orientation="landscape" verticalDpi="0" r:id="rId1"/>
  <ignoredErrors>
    <ignoredError sqref="E5 E27:E31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D6"/>
  <sheetViews>
    <sheetView showGridLines="0" topLeftCell="A2" zoomScaleNormal="100" workbookViewId="0">
      <selection activeCell="A2" sqref="A2"/>
    </sheetView>
  </sheetViews>
  <sheetFormatPr defaultRowHeight="14.4" x14ac:dyDescent="0.3"/>
  <cols>
    <col min="1" max="1" width="20.44140625" customWidth="1"/>
    <col min="2" max="4" width="21" customWidth="1"/>
  </cols>
  <sheetData>
    <row r="1" spans="1:4" hidden="1" x14ac:dyDescent="0.3">
      <c r="A1" s="23"/>
    </row>
    <row r="2" spans="1:4" x14ac:dyDescent="0.3">
      <c r="A2" s="84" t="s">
        <v>250</v>
      </c>
      <c r="B2" s="64"/>
      <c r="C2" s="64"/>
      <c r="D2" s="65" t="s">
        <v>310</v>
      </c>
    </row>
    <row r="3" spans="1:4" x14ac:dyDescent="0.3">
      <c r="A3" s="78" t="s">
        <v>0</v>
      </c>
      <c r="B3" s="66" t="s">
        <v>1</v>
      </c>
      <c r="C3" s="66" t="s">
        <v>375</v>
      </c>
      <c r="D3" s="66" t="s">
        <v>250</v>
      </c>
    </row>
    <row r="4" spans="1:4" x14ac:dyDescent="0.3">
      <c r="A4" s="276" t="s">
        <v>522</v>
      </c>
      <c r="B4" s="67">
        <v>2946</v>
      </c>
      <c r="C4" s="68">
        <v>10070.031000000001</v>
      </c>
      <c r="D4" s="68">
        <f>IFERROR(C4/B4,0)</f>
        <v>3.4182046843177192</v>
      </c>
    </row>
    <row r="5" spans="1:4" x14ac:dyDescent="0.3">
      <c r="A5" s="116" t="s">
        <v>551</v>
      </c>
      <c r="B5" s="48">
        <v>3021</v>
      </c>
      <c r="C5" s="69">
        <v>10370.148999999999</v>
      </c>
      <c r="D5" s="69">
        <f>IFERROR(C5/B5,0)</f>
        <v>3.4326875206885137</v>
      </c>
    </row>
    <row r="6" spans="1:4" x14ac:dyDescent="0.3">
      <c r="A6" s="277" t="s">
        <v>559</v>
      </c>
      <c r="B6" s="70">
        <v>3139</v>
      </c>
      <c r="C6" s="71">
        <v>11205.343999999999</v>
      </c>
      <c r="D6" s="71">
        <f>IFERROR(C6/B6,0)</f>
        <v>3.5697177445046191</v>
      </c>
    </row>
  </sheetData>
  <customSheetViews>
    <customSheetView guid="{5507C501-9942-4310-9E0E-987180BD1180}">
      <selection activeCell="C14" sqref="C14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F11" sqref="F11"/>
      <pageMargins left="0.7" right="0.7" top="0.75" bottom="0.75" header="0.3" footer="0.3"/>
      <pageSetup paperSize="9" orientation="portrait" verticalDpi="0" r:id="rId2"/>
    </customSheetView>
  </customSheetViews>
  <pageMargins left="0.7" right="0.7" top="0.75" bottom="0.75" header="0.3" footer="0.3"/>
  <pageSetup paperSize="9" orientation="portrait" verticalDpi="0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62E62-7C69-4B3E-B79E-4124B0156FB6}">
  <sheetPr codeName="Sheet185">
    <tabColor theme="0" tint="-4.9989318521683403E-2"/>
  </sheetPr>
  <dimension ref="A1:FV26"/>
  <sheetViews>
    <sheetView showGridLines="0" topLeftCell="A2" zoomScaleNormal="100" workbookViewId="0">
      <selection activeCell="A3" sqref="A3"/>
    </sheetView>
  </sheetViews>
  <sheetFormatPr defaultColWidth="9.109375" defaultRowHeight="12" x14ac:dyDescent="0.25"/>
  <cols>
    <col min="1" max="1" width="43.44140625" style="3" customWidth="1"/>
    <col min="2" max="2" width="8.6640625" style="3" customWidth="1"/>
    <col min="3" max="3" width="6.5546875" style="3" customWidth="1"/>
    <col min="4" max="4" width="8.6640625" style="3" customWidth="1"/>
    <col min="5" max="5" width="6.5546875" style="3" customWidth="1"/>
    <col min="6" max="6" width="8.6640625" style="3" customWidth="1"/>
    <col min="7" max="7" width="6.5546875" style="3" customWidth="1"/>
    <col min="8" max="8" width="8.5546875" style="183" customWidth="1"/>
    <col min="9" max="9" width="9.109375" style="3"/>
    <col min="10" max="13" width="5.77734375" style="3" customWidth="1"/>
    <col min="14" max="16384" width="9.109375" style="3"/>
  </cols>
  <sheetData>
    <row r="1" spans="1:178" ht="12" hidden="1" customHeight="1" x14ac:dyDescent="0.3"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</row>
    <row r="2" spans="1:178" ht="14.4" x14ac:dyDescent="0.3">
      <c r="A2" s="23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</row>
    <row r="3" spans="1:178" ht="14.4" x14ac:dyDescent="0.3">
      <c r="A3" s="77" t="s">
        <v>379</v>
      </c>
      <c r="B3" s="452"/>
      <c r="C3" s="452"/>
      <c r="D3" s="452"/>
      <c r="E3" s="452"/>
      <c r="F3" s="452"/>
      <c r="G3" s="452"/>
      <c r="H3" s="65" t="s">
        <v>310</v>
      </c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</row>
    <row r="4" spans="1:178" ht="14.4" customHeight="1" x14ac:dyDescent="0.3">
      <c r="A4" s="751" t="s">
        <v>10</v>
      </c>
      <c r="B4" s="762" t="s">
        <v>522</v>
      </c>
      <c r="C4" s="763"/>
      <c r="D4" s="762" t="s">
        <v>551</v>
      </c>
      <c r="E4" s="763"/>
      <c r="F4" s="762" t="s">
        <v>559</v>
      </c>
      <c r="G4" s="763"/>
      <c r="H4" s="765" t="str">
        <f>IF(LEN(F4)&gt;5,"Индекс " &amp; MID(F4,1,2) &amp; "-" &amp; MID(F4,4,5) &amp; "/" &amp; D4,"Индекс " &amp; F4 &amp; "/" &amp; D4)</f>
        <v>Индекс 2024./2023.</v>
      </c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</row>
    <row r="5" spans="1:178" ht="14.4" x14ac:dyDescent="0.3">
      <c r="A5" s="764"/>
      <c r="B5" s="73" t="s">
        <v>2</v>
      </c>
      <c r="C5" s="74" t="s">
        <v>3</v>
      </c>
      <c r="D5" s="73" t="s">
        <v>2</v>
      </c>
      <c r="E5" s="74" t="s">
        <v>3</v>
      </c>
      <c r="F5" s="73" t="s">
        <v>2</v>
      </c>
      <c r="G5" s="74" t="s">
        <v>3</v>
      </c>
      <c r="H5" s="766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</row>
    <row r="6" spans="1:178" ht="14.4" x14ac:dyDescent="0.3">
      <c r="A6" s="450" t="s">
        <v>314</v>
      </c>
      <c r="B6" s="462"/>
      <c r="C6" s="463"/>
      <c r="D6" s="462"/>
      <c r="E6" s="463"/>
      <c r="F6" s="462"/>
      <c r="G6" s="463"/>
      <c r="H6" s="464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</row>
    <row r="7" spans="1:178" ht="14.4" x14ac:dyDescent="0.3">
      <c r="A7" s="53" t="s">
        <v>420</v>
      </c>
      <c r="B7" s="460">
        <v>2636.6060000000002</v>
      </c>
      <c r="C7" s="421">
        <f t="shared" ref="C7:C12" si="0">IF(B$13&lt;&gt;0,B7*100/B$13,0)</f>
        <v>26.18269993409157</v>
      </c>
      <c r="D7" s="460">
        <v>2560.04</v>
      </c>
      <c r="E7" s="421">
        <f t="shared" ref="E7:E12" si="1">IF(D$13&lt;&gt;0,D7*100/D$13,0)</f>
        <v>24.686626971319313</v>
      </c>
      <c r="F7" s="460">
        <v>2755.931</v>
      </c>
      <c r="G7" s="421">
        <f t="shared" ref="G7:G12" si="2">IF(F$13&lt;&gt;0,F7*100/F$13,0)</f>
        <v>24.594791556600136</v>
      </c>
      <c r="H7" s="48">
        <f>IF(D7&lt;&gt;0,F7/D7*100,"")</f>
        <v>107.65187262699021</v>
      </c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</row>
    <row r="8" spans="1:178" ht="14.4" x14ac:dyDescent="0.3">
      <c r="A8" s="53" t="s">
        <v>421</v>
      </c>
      <c r="B8" s="460">
        <v>1283.895</v>
      </c>
      <c r="C8" s="421">
        <f t="shared" si="0"/>
        <v>12.749662836191867</v>
      </c>
      <c r="D8" s="460">
        <v>1389.796</v>
      </c>
      <c r="E8" s="421">
        <f t="shared" si="1"/>
        <v>13.401890368209754</v>
      </c>
      <c r="F8" s="460">
        <v>1329.1849999999999</v>
      </c>
      <c r="G8" s="421">
        <f t="shared" si="2"/>
        <v>11.862063315503747</v>
      </c>
      <c r="H8" s="48">
        <f t="shared" ref="H8:H26" si="3">IF(D8&lt;&gt;0,F8/D8*100,"")</f>
        <v>95.638856350140586</v>
      </c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</row>
    <row r="9" spans="1:178" ht="14.4" x14ac:dyDescent="0.3">
      <c r="A9" s="53" t="s">
        <v>205</v>
      </c>
      <c r="B9" s="460">
        <v>40.366999999999997</v>
      </c>
      <c r="C9" s="421">
        <f t="shared" si="0"/>
        <v>0.40086271829749087</v>
      </c>
      <c r="D9" s="460">
        <v>28.584</v>
      </c>
      <c r="E9" s="421">
        <f t="shared" si="1"/>
        <v>0.27563731244363027</v>
      </c>
      <c r="F9" s="460">
        <v>51.389000000000003</v>
      </c>
      <c r="G9" s="421">
        <f t="shared" si="2"/>
        <v>0.45861153392524145</v>
      </c>
      <c r="H9" s="48">
        <f t="shared" si="3"/>
        <v>179.78239574587184</v>
      </c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</row>
    <row r="10" spans="1:178" ht="14.4" x14ac:dyDescent="0.3">
      <c r="A10" s="53" t="s">
        <v>12</v>
      </c>
      <c r="B10" s="460">
        <v>5792.91</v>
      </c>
      <c r="C10" s="421">
        <f t="shared" si="0"/>
        <v>57.526238002643694</v>
      </c>
      <c r="D10" s="460">
        <v>6056.5429999999997</v>
      </c>
      <c r="E10" s="421">
        <f t="shared" si="1"/>
        <v>58.403625637394406</v>
      </c>
      <c r="F10" s="460">
        <v>6695.1629999999996</v>
      </c>
      <c r="G10" s="421">
        <f t="shared" si="2"/>
        <v>59.74973191362978</v>
      </c>
      <c r="H10" s="48">
        <f t="shared" si="3"/>
        <v>110.54429895073807</v>
      </c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</row>
    <row r="11" spans="1:178" ht="14.4" x14ac:dyDescent="0.3">
      <c r="A11" s="53" t="s">
        <v>422</v>
      </c>
      <c r="B11" s="460">
        <v>186.83699999999999</v>
      </c>
      <c r="C11" s="421">
        <f t="shared" si="0"/>
        <v>1.8553766120481654</v>
      </c>
      <c r="D11" s="460">
        <v>189.06800000000001</v>
      </c>
      <c r="E11" s="421">
        <f t="shared" si="1"/>
        <v>1.8231946329797193</v>
      </c>
      <c r="F11" s="460">
        <v>193.57900000000001</v>
      </c>
      <c r="G11" s="421">
        <f t="shared" si="2"/>
        <v>1.7275596358309038</v>
      </c>
      <c r="H11" s="48">
        <f t="shared" si="3"/>
        <v>102.38591406266528</v>
      </c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</row>
    <row r="12" spans="1:178" ht="14.4" x14ac:dyDescent="0.3">
      <c r="A12" s="53" t="s">
        <v>423</v>
      </c>
      <c r="B12" s="460">
        <v>129.416</v>
      </c>
      <c r="C12" s="421">
        <f t="shared" si="0"/>
        <v>1.2851598967272297</v>
      </c>
      <c r="D12" s="460">
        <v>146.11799999999999</v>
      </c>
      <c r="E12" s="421">
        <f t="shared" si="1"/>
        <v>1.4090250776531754</v>
      </c>
      <c r="F12" s="460">
        <v>180.09700000000001</v>
      </c>
      <c r="G12" s="421">
        <f t="shared" si="2"/>
        <v>1.6072420445101911</v>
      </c>
      <c r="H12" s="48">
        <f t="shared" si="3"/>
        <v>123.25449294405892</v>
      </c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</row>
    <row r="13" spans="1:178" ht="14.4" x14ac:dyDescent="0.3">
      <c r="A13" s="6" t="s">
        <v>424</v>
      </c>
      <c r="B13" s="461">
        <f t="shared" ref="B13:G13" si="4">SUM(B7:B12)</f>
        <v>10070.030999999999</v>
      </c>
      <c r="C13" s="528">
        <f t="shared" si="4"/>
        <v>100.00000000000001</v>
      </c>
      <c r="D13" s="461">
        <f t="shared" si="4"/>
        <v>10370.148999999999</v>
      </c>
      <c r="E13" s="528">
        <f t="shared" si="4"/>
        <v>99.999999999999986</v>
      </c>
      <c r="F13" s="461">
        <f t="shared" si="4"/>
        <v>11205.343999999999</v>
      </c>
      <c r="G13" s="528">
        <f t="shared" si="4"/>
        <v>100</v>
      </c>
      <c r="H13" s="96">
        <f t="shared" si="3"/>
        <v>108.053837992106</v>
      </c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</row>
    <row r="14" spans="1:178" ht="14.4" x14ac:dyDescent="0.3">
      <c r="A14" s="6" t="s">
        <v>425</v>
      </c>
      <c r="B14" s="461">
        <f>B15+B16</f>
        <v>312.87800000000004</v>
      </c>
      <c r="C14" s="529"/>
      <c r="D14" s="461">
        <f>D15+D16</f>
        <v>339.572</v>
      </c>
      <c r="E14" s="529"/>
      <c r="F14" s="461">
        <f>F15+F16</f>
        <v>349.524</v>
      </c>
      <c r="G14" s="529"/>
      <c r="H14" s="96">
        <f t="shared" si="3"/>
        <v>102.93074811821941</v>
      </c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</row>
    <row r="15" spans="1:178" ht="14.4" x14ac:dyDescent="0.3">
      <c r="A15" s="53" t="s">
        <v>426</v>
      </c>
      <c r="B15" s="460">
        <v>292.44600000000003</v>
      </c>
      <c r="C15" s="421"/>
      <c r="D15" s="460">
        <v>314.91500000000002</v>
      </c>
      <c r="E15" s="421"/>
      <c r="F15" s="460">
        <v>327.17</v>
      </c>
      <c r="G15" s="421"/>
      <c r="H15" s="48">
        <f t="shared" si="3"/>
        <v>103.89152628487052</v>
      </c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</row>
    <row r="16" spans="1:178" ht="14.4" x14ac:dyDescent="0.3">
      <c r="A16" s="53" t="s">
        <v>427</v>
      </c>
      <c r="B16" s="460">
        <v>20.431999999999999</v>
      </c>
      <c r="C16" s="421"/>
      <c r="D16" s="460">
        <v>24.657</v>
      </c>
      <c r="E16" s="421"/>
      <c r="F16" s="460">
        <v>22.353999999999999</v>
      </c>
      <c r="G16" s="421"/>
      <c r="H16" s="48">
        <f t="shared" si="3"/>
        <v>90.659853185707902</v>
      </c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</row>
    <row r="17" spans="1:178" ht="14.4" x14ac:dyDescent="0.3">
      <c r="A17" s="6" t="s">
        <v>428</v>
      </c>
      <c r="B17" s="461">
        <f>B13-B14</f>
        <v>9757.1529999999984</v>
      </c>
      <c r="C17" s="529"/>
      <c r="D17" s="461">
        <f>D13-D14</f>
        <v>10030.576999999999</v>
      </c>
      <c r="E17" s="529"/>
      <c r="F17" s="461">
        <f>F13-F14</f>
        <v>10855.82</v>
      </c>
      <c r="G17" s="529"/>
      <c r="H17" s="96">
        <f t="shared" si="3"/>
        <v>108.22727346592325</v>
      </c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</row>
    <row r="18" spans="1:178" ht="14.4" x14ac:dyDescent="0.3">
      <c r="A18" s="450" t="s">
        <v>429</v>
      </c>
      <c r="B18" s="465"/>
      <c r="C18" s="530"/>
      <c r="D18" s="465"/>
      <c r="E18" s="530"/>
      <c r="F18" s="465"/>
      <c r="G18" s="530"/>
      <c r="H18" s="644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</row>
    <row r="19" spans="1:178" ht="14.4" x14ac:dyDescent="0.3">
      <c r="A19" s="53" t="s">
        <v>430</v>
      </c>
      <c r="B19" s="460">
        <v>7595.16</v>
      </c>
      <c r="C19" s="421">
        <f>IF(B$26&lt;&gt;0,B19*100/B$26,0)</f>
        <v>77.841968861203682</v>
      </c>
      <c r="D19" s="460">
        <v>7740.107</v>
      </c>
      <c r="E19" s="421">
        <f>IF(D$26&lt;&gt;0,D19*100/D$26,0)</f>
        <v>77.165122205831224</v>
      </c>
      <c r="F19" s="460">
        <v>8354.1749999999993</v>
      </c>
      <c r="G19" s="421">
        <f>IF(F$26&lt;&gt;0,F19*100/F$26,0)</f>
        <v>76.955725131772624</v>
      </c>
      <c r="H19" s="48">
        <f t="shared" si="3"/>
        <v>107.93358541425849</v>
      </c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</row>
    <row r="20" spans="1:178" ht="14.4" x14ac:dyDescent="0.3">
      <c r="A20" s="53" t="s">
        <v>431</v>
      </c>
      <c r="B20" s="460">
        <v>704.68499999999995</v>
      </c>
      <c r="C20" s="421">
        <f t="shared" ref="C20:E25" si="5">IF(B$26&lt;&gt;0,B20*100/B$26,0)</f>
        <v>7.2222399300287705</v>
      </c>
      <c r="D20" s="460">
        <v>717.84799999999996</v>
      </c>
      <c r="E20" s="421">
        <f t="shared" si="5"/>
        <v>7.1565972725198153</v>
      </c>
      <c r="F20" s="460">
        <v>671.36900000000003</v>
      </c>
      <c r="G20" s="421">
        <f t="shared" ref="G20" si="6">IF(F$26&lt;&gt;0,F20*100/F$26,0)</f>
        <v>6.1844153642930717</v>
      </c>
      <c r="H20" s="48">
        <f t="shared" si="3"/>
        <v>93.525230968115821</v>
      </c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</row>
    <row r="21" spans="1:178" ht="14.4" x14ac:dyDescent="0.3">
      <c r="A21" s="53" t="s">
        <v>432</v>
      </c>
      <c r="B21" s="460">
        <v>52.268000000000001</v>
      </c>
      <c r="C21" s="421">
        <f>IF(B$26&lt;&gt;0,B21*100/B$26,0)</f>
        <v>0.53568904781958437</v>
      </c>
      <c r="D21" s="460">
        <v>70.849000000000004</v>
      </c>
      <c r="E21" s="421">
        <f t="shared" si="5"/>
        <v>0.70633025398239813</v>
      </c>
      <c r="F21" s="460">
        <v>99.652000000000001</v>
      </c>
      <c r="G21" s="421">
        <f t="shared" ref="G21:G22" si="7">IF(F$26&lt;&gt;0,F21*100/F$26,0)</f>
        <v>0.91795921450429363</v>
      </c>
      <c r="H21" s="48">
        <f t="shared" si="3"/>
        <v>140.65406710045306</v>
      </c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</row>
    <row r="22" spans="1:178" ht="14.4" x14ac:dyDescent="0.3">
      <c r="A22" s="159" t="s">
        <v>493</v>
      </c>
      <c r="B22" s="460">
        <v>12.781000000000001</v>
      </c>
      <c r="C22" s="421">
        <f>IF(B$26&lt;&gt;0,B22*100/B$26,0)</f>
        <v>0.13099107905758989</v>
      </c>
      <c r="D22" s="460">
        <v>16.96</v>
      </c>
      <c r="E22" s="421">
        <f t="shared" si="5"/>
        <v>0.16908299492641352</v>
      </c>
      <c r="F22" s="460">
        <v>16.908000000000001</v>
      </c>
      <c r="G22" s="421">
        <f t="shared" si="7"/>
        <v>0.155750555922998</v>
      </c>
      <c r="H22" s="48">
        <f>IF(D22&lt;&gt;0,F22/D22*100,"")</f>
        <v>99.693396226415103</v>
      </c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</row>
    <row r="23" spans="1:178" ht="14.4" x14ac:dyDescent="0.3">
      <c r="A23" s="53" t="s">
        <v>494</v>
      </c>
      <c r="B23" s="460">
        <v>176.22800000000001</v>
      </c>
      <c r="C23" s="421">
        <f t="shared" si="5"/>
        <v>1.8061416070855916</v>
      </c>
      <c r="D23" s="460">
        <v>178.75399999999999</v>
      </c>
      <c r="E23" s="421">
        <f t="shared" si="5"/>
        <v>1.782090900653073</v>
      </c>
      <c r="F23" s="460">
        <v>227.071</v>
      </c>
      <c r="G23" s="421">
        <f t="shared" ref="G23" si="8">IF(F$26&lt;&gt;0,F23*100/F$26,0)</f>
        <v>2.0916982779743951</v>
      </c>
      <c r="H23" s="48">
        <f>IF(D23&lt;&gt;0,F23/D23*100,"")</f>
        <v>127.02988464593801</v>
      </c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</row>
    <row r="24" spans="1:178" ht="14.4" x14ac:dyDescent="0.3">
      <c r="A24" s="623" t="s">
        <v>433</v>
      </c>
      <c r="B24" s="466"/>
      <c r="C24" s="530"/>
      <c r="D24" s="466"/>
      <c r="E24" s="530"/>
      <c r="F24" s="466"/>
      <c r="G24" s="530"/>
      <c r="H24" s="64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</row>
    <row r="25" spans="1:178" ht="14.4" x14ac:dyDescent="0.3">
      <c r="A25" s="444" t="s">
        <v>495</v>
      </c>
      <c r="B25" s="460">
        <v>1216.0309999999999</v>
      </c>
      <c r="C25" s="421">
        <f t="shared" si="5"/>
        <v>12.462969474804794</v>
      </c>
      <c r="D25" s="460">
        <v>1306.059</v>
      </c>
      <c r="E25" s="421">
        <f t="shared" si="5"/>
        <v>13.02077637208707</v>
      </c>
      <c r="F25" s="460">
        <v>1486.645</v>
      </c>
      <c r="G25" s="421">
        <f t="shared" ref="G25" si="9">IF(F$26&lt;&gt;0,F25*100/F$26,0)</f>
        <v>13.694451455532608</v>
      </c>
      <c r="H25" s="48">
        <f t="shared" si="3"/>
        <v>113.82678730440203</v>
      </c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</row>
    <row r="26" spans="1:178" ht="15" thickBot="1" x14ac:dyDescent="0.35">
      <c r="A26" s="76" t="s">
        <v>497</v>
      </c>
      <c r="B26" s="451">
        <f t="shared" ref="B26:G26" si="10">SUM(B19:B25)</f>
        <v>9757.1529999999984</v>
      </c>
      <c r="C26" s="531">
        <f t="shared" si="10"/>
        <v>100.00000000000003</v>
      </c>
      <c r="D26" s="451">
        <f t="shared" si="10"/>
        <v>10030.576999999999</v>
      </c>
      <c r="E26" s="531">
        <f t="shared" si="10"/>
        <v>100</v>
      </c>
      <c r="F26" s="451">
        <f t="shared" si="10"/>
        <v>10855.82</v>
      </c>
      <c r="G26" s="531">
        <f t="shared" si="10"/>
        <v>100</v>
      </c>
      <c r="H26" s="553">
        <f t="shared" si="3"/>
        <v>108.22727346592325</v>
      </c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</row>
  </sheetData>
  <mergeCells count="5">
    <mergeCell ref="D4:E4"/>
    <mergeCell ref="F4:G4"/>
    <mergeCell ref="A4:A5"/>
    <mergeCell ref="B4:C4"/>
    <mergeCell ref="H4:H5"/>
  </mergeCells>
  <pageMargins left="0.7" right="0.7" top="0.75" bottom="0.75" header="0.3" footer="0.3"/>
  <pageSetup paperSize="9" scale="98" orientation="landscape" r:id="rId1"/>
  <rowBreaks count="1" manualBreakCount="1">
    <brk id="2" max="7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FW14"/>
  <sheetViews>
    <sheetView showGridLines="0" topLeftCell="A2" zoomScaleNormal="100" workbookViewId="0">
      <selection activeCell="L23" sqref="L23"/>
    </sheetView>
  </sheetViews>
  <sheetFormatPr defaultRowHeight="14.4" x14ac:dyDescent="0.3"/>
  <cols>
    <col min="1" max="1" width="29.44140625" customWidth="1"/>
    <col min="2" max="2" width="8.6640625" customWidth="1"/>
    <col min="3" max="3" width="6.6640625" customWidth="1"/>
    <col min="4" max="4" width="8.6640625"/>
    <col min="5" max="5" width="6.6640625" customWidth="1"/>
    <col min="6" max="6" width="8.6640625"/>
    <col min="7" max="7" width="6.6640625" customWidth="1"/>
    <col min="8" max="8" width="9.77734375" style="31" customWidth="1"/>
    <col min="10" max="14" width="5.77734375" customWidth="1"/>
  </cols>
  <sheetData>
    <row r="1" spans="1:179" hidden="1" x14ac:dyDescent="0.3"/>
    <row r="2" spans="1:179" x14ac:dyDescent="0.3">
      <c r="A2" s="18"/>
      <c r="B2" s="18"/>
      <c r="C2" s="18"/>
      <c r="D2" s="18"/>
      <c r="E2" s="18"/>
      <c r="F2" s="18"/>
      <c r="G2" s="18"/>
      <c r="H2" s="99"/>
    </row>
    <row r="3" spans="1:179" x14ac:dyDescent="0.3">
      <c r="A3" s="46" t="s">
        <v>251</v>
      </c>
      <c r="B3" s="46"/>
      <c r="C3" s="46"/>
      <c r="D3" s="46"/>
      <c r="E3" s="46"/>
      <c r="F3" s="46"/>
      <c r="G3" s="79"/>
      <c r="H3" s="65" t="s">
        <v>310</v>
      </c>
    </row>
    <row r="4" spans="1:179" ht="14.4" customHeight="1" x14ac:dyDescent="0.3">
      <c r="A4" s="751" t="s">
        <v>10</v>
      </c>
      <c r="B4" s="753" t="s">
        <v>522</v>
      </c>
      <c r="C4" s="755"/>
      <c r="D4" s="753" t="s">
        <v>551</v>
      </c>
      <c r="E4" s="755"/>
      <c r="F4" s="753" t="s">
        <v>559</v>
      </c>
      <c r="G4" s="755"/>
      <c r="H4" s="767" t="str">
        <f>IF(LEN(F4)&gt;5,"Индекс " &amp; MID(F4,1,2) &amp; "-" &amp; MID(F4,4,5) &amp; "/" &amp; D4,"Индекс " &amp; F4 &amp; "/" &amp; D4)</f>
        <v>Индекс 2024./2023.</v>
      </c>
    </row>
    <row r="5" spans="1:179" ht="14.1" customHeight="1" x14ac:dyDescent="0.3">
      <c r="A5" s="752"/>
      <c r="B5" s="51" t="s">
        <v>2</v>
      </c>
      <c r="C5" s="80" t="s">
        <v>3</v>
      </c>
      <c r="D5" s="51" t="s">
        <v>2</v>
      </c>
      <c r="E5" s="80" t="s">
        <v>3</v>
      </c>
      <c r="F5" s="51" t="s">
        <v>2</v>
      </c>
      <c r="G5" s="80" t="s">
        <v>3</v>
      </c>
      <c r="H5" s="768"/>
    </row>
    <row r="6" spans="1:179" x14ac:dyDescent="0.3">
      <c r="A6" s="53" t="s">
        <v>398</v>
      </c>
      <c r="B6" s="54">
        <v>995.74099999999999</v>
      </c>
      <c r="C6" s="417">
        <f>IF($B$14&lt;&gt;0,B6*100/$B$14,0)</f>
        <v>13.110204393324171</v>
      </c>
      <c r="D6" s="54">
        <v>861.40499999999997</v>
      </c>
      <c r="E6" s="417">
        <f>IF($D$14&lt;&gt;0,D6*100/$D$14,0)</f>
        <v>11.129109713857961</v>
      </c>
      <c r="F6" s="54">
        <v>669.68799999999999</v>
      </c>
      <c r="G6" s="417">
        <f>IF($F$14&lt;&gt;0,F6*100/$F$14,0)</f>
        <v>8.0162074651297122</v>
      </c>
      <c r="H6" s="48">
        <f>IF(D6&lt;&gt;0,F6/D6*100,"-")</f>
        <v>77.743686187101304</v>
      </c>
    </row>
    <row r="7" spans="1:179" x14ac:dyDescent="0.3">
      <c r="A7" s="53" t="s">
        <v>315</v>
      </c>
      <c r="B7" s="54">
        <v>498.64100000000002</v>
      </c>
      <c r="C7" s="417">
        <f>IF($B$14&lt;&gt;0,B7*100/$B$14,0)</f>
        <v>6.5652468150769696</v>
      </c>
      <c r="D7" s="54">
        <v>311.923</v>
      </c>
      <c r="E7" s="417">
        <f t="shared" ref="E7:E13" si="0">IF($D$14&lt;&gt;0,D7*100/$D$14,0)</f>
        <v>4.0299572086018962</v>
      </c>
      <c r="F7" s="54">
        <v>261.435</v>
      </c>
      <c r="G7" s="417">
        <f t="shared" ref="G7:G13" si="1">IF($F$14&lt;&gt;0,F7*100/$F$14,0)</f>
        <v>3.1293933871387662</v>
      </c>
      <c r="H7" s="48">
        <f t="shared" ref="H7:H14" si="2">IF(D7&lt;&gt;0,F7/D7*100,"-")</f>
        <v>83.813954084822214</v>
      </c>
    </row>
    <row r="8" spans="1:179" x14ac:dyDescent="0.3">
      <c r="A8" s="53" t="s">
        <v>316</v>
      </c>
      <c r="B8" s="54">
        <v>1313.163</v>
      </c>
      <c r="C8" s="417">
        <f t="shared" ref="C8:C13" si="3">IF($B$14&lt;&gt;0,B8*100/$B$14,0)</f>
        <v>17.289471189547026</v>
      </c>
      <c r="D8" s="54">
        <v>1426.723</v>
      </c>
      <c r="E8" s="417">
        <f t="shared" si="0"/>
        <v>18.432858873914789</v>
      </c>
      <c r="F8" s="54">
        <v>1674.501</v>
      </c>
      <c r="G8" s="417">
        <f t="shared" si="1"/>
        <v>20.043882250491524</v>
      </c>
      <c r="H8" s="48">
        <f t="shared" si="2"/>
        <v>117.3669310721142</v>
      </c>
    </row>
    <row r="9" spans="1:179" x14ac:dyDescent="0.3">
      <c r="A9" s="53" t="s">
        <v>317</v>
      </c>
      <c r="B9" s="54">
        <v>141.857</v>
      </c>
      <c r="C9" s="417">
        <f t="shared" si="3"/>
        <v>1.8677289221030235</v>
      </c>
      <c r="D9" s="54">
        <v>149.23699999999999</v>
      </c>
      <c r="E9" s="417">
        <f t="shared" si="0"/>
        <v>1.9280999603752247</v>
      </c>
      <c r="F9" s="54">
        <v>171.405</v>
      </c>
      <c r="G9" s="417">
        <f t="shared" si="1"/>
        <v>2.051728626704612</v>
      </c>
      <c r="H9" s="48">
        <f t="shared" si="2"/>
        <v>114.85422515864028</v>
      </c>
    </row>
    <row r="10" spans="1:179" x14ac:dyDescent="0.3">
      <c r="A10" s="53" t="s">
        <v>318</v>
      </c>
      <c r="B10" s="54">
        <v>232.113</v>
      </c>
      <c r="C10" s="417">
        <f t="shared" si="3"/>
        <v>3.05606465169924</v>
      </c>
      <c r="D10" s="54">
        <v>131.697</v>
      </c>
      <c r="E10" s="417">
        <f t="shared" si="0"/>
        <v>1.7014881060429785</v>
      </c>
      <c r="F10" s="54">
        <v>218.084</v>
      </c>
      <c r="G10" s="417">
        <f t="shared" si="1"/>
        <v>2.6104791915419541</v>
      </c>
      <c r="H10" s="48">
        <f t="shared" si="2"/>
        <v>165.59526792561715</v>
      </c>
    </row>
    <row r="11" spans="1:179" x14ac:dyDescent="0.3">
      <c r="A11" s="53" t="s">
        <v>319</v>
      </c>
      <c r="B11" s="54">
        <v>310.04500000000002</v>
      </c>
      <c r="C11" s="417">
        <f t="shared" si="3"/>
        <v>4.0821391517756043</v>
      </c>
      <c r="D11" s="54">
        <v>265.66300000000001</v>
      </c>
      <c r="E11" s="417">
        <f t="shared" si="0"/>
        <v>3.4322910523071584</v>
      </c>
      <c r="F11" s="54">
        <v>286.59500000000003</v>
      </c>
      <c r="G11" s="417">
        <f t="shared" si="1"/>
        <v>3.4305601690172884</v>
      </c>
      <c r="H11" s="48">
        <f t="shared" si="2"/>
        <v>107.87915517027211</v>
      </c>
    </row>
    <row r="12" spans="1:179" x14ac:dyDescent="0.3">
      <c r="A12" s="53" t="s">
        <v>400</v>
      </c>
      <c r="B12" s="54">
        <v>4084.7060000000001</v>
      </c>
      <c r="C12" s="417">
        <f t="shared" si="3"/>
        <v>53.780381190126349</v>
      </c>
      <c r="D12" s="54">
        <v>4587.915</v>
      </c>
      <c r="E12" s="417">
        <f t="shared" si="0"/>
        <v>59.27456816811447</v>
      </c>
      <c r="F12" s="54">
        <v>5066.857</v>
      </c>
      <c r="G12" s="417">
        <f t="shared" si="1"/>
        <v>60.650596857259998</v>
      </c>
      <c r="H12" s="48">
        <f t="shared" si="2"/>
        <v>110.43920822421514</v>
      </c>
    </row>
    <row r="13" spans="1:179" x14ac:dyDescent="0.3">
      <c r="A13" s="53" t="s">
        <v>149</v>
      </c>
      <c r="B13" s="54">
        <v>18.893999999999998</v>
      </c>
      <c r="C13" s="417">
        <f t="shared" si="3"/>
        <v>0.24876368634762136</v>
      </c>
      <c r="D13" s="54">
        <v>5.5439999999999996</v>
      </c>
      <c r="E13" s="417">
        <f t="shared" si="0"/>
        <v>7.1626916785517303E-2</v>
      </c>
      <c r="F13" s="54">
        <v>5.61</v>
      </c>
      <c r="G13" s="417">
        <f t="shared" si="1"/>
        <v>6.7152052716156901E-2</v>
      </c>
      <c r="H13" s="48">
        <f t="shared" si="2"/>
        <v>101.1904761904762</v>
      </c>
    </row>
    <row r="14" spans="1:179" s="2" customFormat="1" ht="15" thickBot="1" x14ac:dyDescent="0.35">
      <c r="A14" s="81" t="s">
        <v>30</v>
      </c>
      <c r="B14" s="82">
        <f>SUM(B6:B13)</f>
        <v>7595.16</v>
      </c>
      <c r="C14" s="418">
        <f t="shared" ref="C14:G14" si="4">SUM(C6:C13)</f>
        <v>100</v>
      </c>
      <c r="D14" s="82">
        <f>SUM(D6:D13)</f>
        <v>7740.107</v>
      </c>
      <c r="E14" s="418">
        <f t="shared" si="4"/>
        <v>100</v>
      </c>
      <c r="F14" s="82">
        <f>SUM(F6:F13)</f>
        <v>8354.1749999999993</v>
      </c>
      <c r="G14" s="418">
        <f t="shared" si="4"/>
        <v>100</v>
      </c>
      <c r="H14" s="83">
        <f t="shared" si="2"/>
        <v>107.93358541425849</v>
      </c>
      <c r="I14"/>
      <c r="J14"/>
      <c r="K14"/>
      <c r="L14"/>
      <c r="M14"/>
      <c r="N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</row>
  </sheetData>
  <customSheetViews>
    <customSheetView guid="{5507C501-9942-4310-9E0E-987180BD1180}">
      <selection activeCell="B4" sqref="B4"/>
      <pageMargins left="0.7" right="0.7" top="0.75" bottom="0.75" header="0.3" footer="0.3"/>
    </customSheetView>
    <customSheetView guid="{54A0E5BB-5A66-4415-88CA-030F3BDE4337}">
      <selection activeCell="L9" sqref="L9"/>
      <pageMargins left="0.7" right="0.7" top="0.75" bottom="0.75" header="0.3" footer="0.3"/>
    </customSheetView>
  </customSheetViews>
  <mergeCells count="5">
    <mergeCell ref="A4:A5"/>
    <mergeCell ref="B4:C4"/>
    <mergeCell ref="D4:E4"/>
    <mergeCell ref="F4:G4"/>
    <mergeCell ref="H4:H5"/>
  </mergeCells>
  <pageMargins left="0.7" right="0.7" top="0.75" bottom="0.75" header="0.3" footer="0.3"/>
  <pageSetup orientation="portrait" verticalDpi="0" r:id="rId1"/>
  <ignoredErrors>
    <ignoredError sqref="D14 F14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FT8"/>
  <sheetViews>
    <sheetView showGridLines="0" topLeftCell="A2" zoomScaleNormal="100" workbookViewId="0">
      <selection activeCell="F19" sqref="F19"/>
    </sheetView>
  </sheetViews>
  <sheetFormatPr defaultRowHeight="14.4" x14ac:dyDescent="0.3"/>
  <cols>
    <col min="1" max="1" width="30.5546875" customWidth="1"/>
    <col min="2" max="2" width="8.6640625"/>
    <col min="3" max="3" width="5.6640625" customWidth="1"/>
    <col min="4" max="4" width="8.6640625"/>
    <col min="5" max="5" width="5.6640625" customWidth="1"/>
    <col min="6" max="6" width="8.6640625"/>
    <col min="7" max="7" width="5.6640625" customWidth="1"/>
    <col min="8" max="8" width="9.77734375" style="31" customWidth="1"/>
    <col min="10" max="14" width="5.77734375" customWidth="1"/>
  </cols>
  <sheetData>
    <row r="1" spans="1:176" hidden="1" x14ac:dyDescent="0.3"/>
    <row r="2" spans="1:176" x14ac:dyDescent="0.3">
      <c r="A2" s="88"/>
    </row>
    <row r="3" spans="1:176" x14ac:dyDescent="0.3">
      <c r="A3" s="84" t="s">
        <v>252</v>
      </c>
      <c r="B3" s="85"/>
      <c r="C3" s="85"/>
      <c r="D3" s="85"/>
      <c r="E3" s="85"/>
      <c r="F3" s="85"/>
      <c r="G3" s="85"/>
      <c r="H3" s="65" t="s">
        <v>310</v>
      </c>
    </row>
    <row r="4" spans="1:176" x14ac:dyDescent="0.3">
      <c r="A4" s="751" t="s">
        <v>10</v>
      </c>
      <c r="B4" s="762" t="s">
        <v>522</v>
      </c>
      <c r="C4" s="763"/>
      <c r="D4" s="762" t="s">
        <v>551</v>
      </c>
      <c r="E4" s="763"/>
      <c r="F4" s="762" t="s">
        <v>559</v>
      </c>
      <c r="G4" s="763"/>
      <c r="H4" s="767" t="str">
        <f>IF(LEN(F4)&gt;5,"Индекс " &amp; MID(F4,1,2) &amp; "-" &amp; MID(F4,4,5) &amp; "/" &amp; D4,"Индекс " &amp; F4 &amp; "/" &amp; D4)</f>
        <v>Индекс 2024./2023.</v>
      </c>
    </row>
    <row r="5" spans="1:176" ht="14.1" customHeight="1" x14ac:dyDescent="0.3">
      <c r="A5" s="764"/>
      <c r="B5" s="73" t="s">
        <v>2</v>
      </c>
      <c r="C5" s="74" t="s">
        <v>3</v>
      </c>
      <c r="D5" s="73" t="s">
        <v>2</v>
      </c>
      <c r="E5" s="74" t="s">
        <v>3</v>
      </c>
      <c r="F5" s="73" t="s">
        <v>2</v>
      </c>
      <c r="G5" s="86" t="s">
        <v>3</v>
      </c>
      <c r="H5" s="768"/>
    </row>
    <row r="6" spans="1:176" ht="15" customHeight="1" x14ac:dyDescent="0.3">
      <c r="A6" s="53" t="s">
        <v>15</v>
      </c>
      <c r="B6" s="75">
        <v>5231.549</v>
      </c>
      <c r="C6" s="421">
        <f>IF($B$8&lt;&gt;0,ROUND(B6*100/$B$8,1),0)</f>
        <v>68.900000000000006</v>
      </c>
      <c r="D6" s="75">
        <v>5320.3860000000004</v>
      </c>
      <c r="E6" s="421">
        <f>IF($D$8&lt;&gt;0,ROUND(D6*100/$D$8,1),0)</f>
        <v>68.7</v>
      </c>
      <c r="F6" s="75">
        <v>5857.5439999999999</v>
      </c>
      <c r="G6" s="423">
        <f>IF($F$8&lt;&gt;0,ROUND(F6*100/$F$8,1),0)</f>
        <v>70.099999999999994</v>
      </c>
      <c r="H6" s="641">
        <f>IF(D6&lt;&gt;0,F6/D6*100,"-")</f>
        <v>110.09622234176241</v>
      </c>
    </row>
    <row r="7" spans="1:176" ht="15" customHeight="1" x14ac:dyDescent="0.3">
      <c r="A7" s="53" t="s">
        <v>545</v>
      </c>
      <c r="B7" s="75">
        <v>2363.6109999999999</v>
      </c>
      <c r="C7" s="421">
        <f>IF($B$8&lt;&gt;0,ROUND(B7*100/$B$8,1),0)</f>
        <v>31.1</v>
      </c>
      <c r="D7" s="75">
        <v>2419.721</v>
      </c>
      <c r="E7" s="421">
        <f>IF($D$8&lt;&gt;0,ROUND(D7*100/$D$8,1),0)</f>
        <v>31.3</v>
      </c>
      <c r="F7" s="75">
        <v>2496.6309999999999</v>
      </c>
      <c r="G7" s="423">
        <f>IF($F$8&lt;&gt;0,ROUND(F7*100/$F$8,1),0)</f>
        <v>29.9</v>
      </c>
      <c r="H7" s="641">
        <f>IF(D7&lt;&gt;0,F7/D7*100,"-")</f>
        <v>103.17846561649048</v>
      </c>
    </row>
    <row r="8" spans="1:176" s="2" customFormat="1" ht="15" customHeight="1" thickBot="1" x14ac:dyDescent="0.35">
      <c r="A8" s="76" t="s">
        <v>30</v>
      </c>
      <c r="B8" s="87">
        <f t="shared" ref="B8:G8" si="0">SUM(B6:B7)</f>
        <v>7595.16</v>
      </c>
      <c r="C8" s="422">
        <f t="shared" si="0"/>
        <v>100</v>
      </c>
      <c r="D8" s="87">
        <f t="shared" si="0"/>
        <v>7740.107</v>
      </c>
      <c r="E8" s="422">
        <f t="shared" si="0"/>
        <v>100</v>
      </c>
      <c r="F8" s="87">
        <f t="shared" si="0"/>
        <v>8354.1749999999993</v>
      </c>
      <c r="G8" s="424">
        <f t="shared" si="0"/>
        <v>100</v>
      </c>
      <c r="H8" s="642">
        <f t="shared" ref="H8" si="1">IF(D8&lt;&gt;0,F8/D8*100,"")</f>
        <v>107.93358541425849</v>
      </c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</row>
  </sheetData>
  <customSheetViews>
    <customSheetView guid="{5507C501-9942-4310-9E0E-987180BD1180}">
      <selection activeCell="H12" sqref="H12"/>
      <pageMargins left="0.7" right="0.7" top="0.75" bottom="0.75" header="0.3" footer="0.3"/>
    </customSheetView>
    <customSheetView guid="{54A0E5BB-5A66-4415-88CA-030F3BDE4337}">
      <selection activeCell="A9" sqref="A9:XFD9"/>
      <pageMargins left="0.7" right="0.7" top="0.75" bottom="0.75" header="0.3" footer="0.3"/>
    </customSheetView>
  </customSheetViews>
  <mergeCells count="5">
    <mergeCell ref="A4:A5"/>
    <mergeCell ref="B4:C4"/>
    <mergeCell ref="D4:E4"/>
    <mergeCell ref="F4:G4"/>
    <mergeCell ref="H4:H5"/>
  </mergeCells>
  <pageMargins left="0.7" right="0.7" top="0.75" bottom="0.75" header="0.3" footer="0.3"/>
  <pageSetup orientation="portrait" verticalDpi="0" r:id="rId1"/>
  <ignoredErrors>
    <ignoredError sqref="B8 D8 F8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1:FW13"/>
  <sheetViews>
    <sheetView showGridLines="0" topLeftCell="A2" zoomScaleNormal="100" workbookViewId="0">
      <selection activeCell="F24" sqref="F24"/>
    </sheetView>
  </sheetViews>
  <sheetFormatPr defaultRowHeight="14.4" x14ac:dyDescent="0.3"/>
  <cols>
    <col min="1" max="1" width="28.6640625" customWidth="1"/>
    <col min="2" max="2" width="9.5546875" customWidth="1"/>
    <col min="3" max="3" width="6.6640625" customWidth="1"/>
    <col min="4" max="4" width="9.5546875" customWidth="1"/>
    <col min="5" max="5" width="6.6640625" customWidth="1"/>
    <col min="6" max="6" width="9.5546875" customWidth="1"/>
    <col min="7" max="7" width="6.6640625" customWidth="1"/>
    <col min="8" max="8" width="9.77734375" style="638" customWidth="1"/>
    <col min="10" max="14" width="5.77734375" customWidth="1"/>
  </cols>
  <sheetData>
    <row r="1" spans="1:179" hidden="1" x14ac:dyDescent="0.3"/>
    <row r="2" spans="1:179" x14ac:dyDescent="0.3">
      <c r="B2" s="18"/>
      <c r="C2" s="18"/>
      <c r="D2" s="18"/>
      <c r="E2" s="18"/>
      <c r="F2" s="18"/>
      <c r="G2" s="18"/>
    </row>
    <row r="3" spans="1:179" x14ac:dyDescent="0.3">
      <c r="A3" s="46" t="s">
        <v>253</v>
      </c>
      <c r="B3" s="46"/>
      <c r="C3" s="46"/>
      <c r="D3" s="46"/>
      <c r="E3" s="46"/>
      <c r="F3" s="46"/>
      <c r="G3" s="89"/>
      <c r="H3" s="65" t="s">
        <v>310</v>
      </c>
    </row>
    <row r="4" spans="1:179" x14ac:dyDescent="0.3">
      <c r="A4" s="751" t="s">
        <v>10</v>
      </c>
      <c r="B4" s="753" t="s">
        <v>522</v>
      </c>
      <c r="C4" s="755"/>
      <c r="D4" s="753" t="s">
        <v>551</v>
      </c>
      <c r="E4" s="755"/>
      <c r="F4" s="753" t="s">
        <v>559</v>
      </c>
      <c r="G4" s="755"/>
      <c r="H4" s="767" t="str">
        <f>IF(LEN(F4)&gt;5,"Индекс " &amp; MID(F4,1,2) &amp; "-" &amp; MID(F4,4,5) &amp; "/" &amp; D4,"Индекс " &amp; F4 &amp; "/" &amp; D4)</f>
        <v>Индекс 2024./2023.</v>
      </c>
    </row>
    <row r="5" spans="1:179" ht="12" customHeight="1" x14ac:dyDescent="0.3">
      <c r="A5" s="752"/>
      <c r="B5" s="156" t="s">
        <v>2</v>
      </c>
      <c r="C5" s="157" t="s">
        <v>3</v>
      </c>
      <c r="D5" s="156" t="s">
        <v>2</v>
      </c>
      <c r="E5" s="157" t="s">
        <v>3</v>
      </c>
      <c r="F5" s="156" t="s">
        <v>2</v>
      </c>
      <c r="G5" s="157" t="s">
        <v>3</v>
      </c>
      <c r="H5" s="768"/>
    </row>
    <row r="6" spans="1:179" ht="15" customHeight="1" x14ac:dyDescent="0.3">
      <c r="A6" s="92" t="s">
        <v>509</v>
      </c>
      <c r="B6" s="93">
        <f t="shared" ref="B6:G6" si="0">SUM(B7:B9)</f>
        <v>5571.5329999999994</v>
      </c>
      <c r="C6" s="94">
        <f t="shared" si="0"/>
        <v>73.35636115631533</v>
      </c>
      <c r="D6" s="93">
        <f t="shared" si="0"/>
        <v>5338.8799999999992</v>
      </c>
      <c r="E6" s="94">
        <f t="shared" si="0"/>
        <v>68.97682422219745</v>
      </c>
      <c r="F6" s="93">
        <f t="shared" si="0"/>
        <v>5854.741</v>
      </c>
      <c r="G6" s="94">
        <f t="shared" si="0"/>
        <v>70.08161787369788</v>
      </c>
      <c r="H6" s="104">
        <f>IF(D6&lt;&gt;0,F6/D6*100,"-")</f>
        <v>109.66234491129228</v>
      </c>
    </row>
    <row r="7" spans="1:179" ht="15" customHeight="1" x14ac:dyDescent="0.3">
      <c r="A7" s="53" t="s">
        <v>511</v>
      </c>
      <c r="B7" s="54">
        <v>5147.8239999999996</v>
      </c>
      <c r="C7" s="91">
        <f>IF($B$13&lt;&gt;0,B7*100/$B$13,0)</f>
        <v>67.777690002580584</v>
      </c>
      <c r="D7" s="54">
        <v>5123.8829999999998</v>
      </c>
      <c r="E7" s="91">
        <f>IF($D$13&lt;&gt;0,D7*100/$D$13,0)</f>
        <v>66.199123603846829</v>
      </c>
      <c r="F7" s="54">
        <v>5507.5609999999997</v>
      </c>
      <c r="G7" s="91">
        <f>IF($F$13&lt;&gt;0,F7*100/$F$13,0)</f>
        <v>65.925851445534718</v>
      </c>
      <c r="H7" s="104">
        <f t="shared" ref="H7:H13" si="1">IF(D7&lt;&gt;0,F7/D7*100,"-")</f>
        <v>107.48803202571176</v>
      </c>
    </row>
    <row r="8" spans="1:179" ht="15" customHeight="1" x14ac:dyDescent="0.3">
      <c r="A8" s="53" t="s">
        <v>512</v>
      </c>
      <c r="B8" s="54">
        <v>84.923000000000002</v>
      </c>
      <c r="C8" s="91">
        <f>IF($B$13&lt;&gt;0,B8*100/$B$13,0)</f>
        <v>1.1181199606064913</v>
      </c>
      <c r="D8" s="54">
        <v>8.4580000000000002</v>
      </c>
      <c r="E8" s="91">
        <f>IF($D$13&lt;&gt;0,D8*100/$D$13,0)</f>
        <v>0.10927497513923259</v>
      </c>
      <c r="F8" s="54">
        <v>99.108000000000004</v>
      </c>
      <c r="G8" s="91">
        <f>IF($F$13&lt;&gt;0,F8*100/$F$13,0)</f>
        <v>1.1863289911930264</v>
      </c>
      <c r="H8" s="104">
        <f t="shared" si="1"/>
        <v>1171.7663750295578</v>
      </c>
    </row>
    <row r="9" spans="1:179" ht="15" customHeight="1" x14ac:dyDescent="0.3">
      <c r="A9" s="53" t="s">
        <v>513</v>
      </c>
      <c r="B9" s="54">
        <v>338.786</v>
      </c>
      <c r="C9" s="91">
        <f>IF($B$13&lt;&gt;0,B9*100/$B$13,0)</f>
        <v>4.4605511931282553</v>
      </c>
      <c r="D9" s="54">
        <v>206.53899999999999</v>
      </c>
      <c r="E9" s="91">
        <f>IF($D$13&lt;&gt;0,D9*100/$D$13,0)</f>
        <v>2.6684256432113922</v>
      </c>
      <c r="F9" s="54">
        <v>248.072</v>
      </c>
      <c r="G9" s="91">
        <f>IF($F$13&lt;&gt;0,F9*100/$F$13,0)</f>
        <v>2.969437436970138</v>
      </c>
      <c r="H9" s="48">
        <f t="shared" si="1"/>
        <v>120.10903509748765</v>
      </c>
    </row>
    <row r="10" spans="1:179" ht="15" customHeight="1" x14ac:dyDescent="0.3">
      <c r="A10" s="105" t="s">
        <v>510</v>
      </c>
      <c r="B10" s="337">
        <f t="shared" ref="B10:G10" si="2">SUM(B11:B12)</f>
        <v>2023.627</v>
      </c>
      <c r="C10" s="440">
        <f t="shared" si="2"/>
        <v>26.643638843684663</v>
      </c>
      <c r="D10" s="337">
        <f t="shared" si="2"/>
        <v>2401.2269999999999</v>
      </c>
      <c r="E10" s="440">
        <f t="shared" si="2"/>
        <v>31.023175777802557</v>
      </c>
      <c r="F10" s="337">
        <f t="shared" si="2"/>
        <v>2499.4339999999997</v>
      </c>
      <c r="G10" s="440">
        <f t="shared" si="2"/>
        <v>29.91838212630212</v>
      </c>
      <c r="H10" s="441">
        <f>IF(D10&lt;&gt;0,F10/D10*100,"-")</f>
        <v>104.08986738863089</v>
      </c>
    </row>
    <row r="11" spans="1:179" ht="15" customHeight="1" x14ac:dyDescent="0.3">
      <c r="A11" s="53" t="s">
        <v>514</v>
      </c>
      <c r="B11" s="54">
        <v>1747.1389999999999</v>
      </c>
      <c r="C11" s="91">
        <f>IF($B$13&lt;&gt;0,B11*100/$B$13,0)</f>
        <v>23.003320535709584</v>
      </c>
      <c r="D11" s="54">
        <v>2168.6379999999999</v>
      </c>
      <c r="E11" s="91">
        <f>IF($D$13&lt;&gt;0,D11*100/$D$13,0)</f>
        <v>28.018191479781869</v>
      </c>
      <c r="F11" s="54">
        <v>2287.6869999999999</v>
      </c>
      <c r="G11" s="91">
        <f>IF($F$13&lt;&gt;0,F11*100/$F$13,0)</f>
        <v>27.383757223184816</v>
      </c>
      <c r="H11" s="48">
        <f t="shared" si="1"/>
        <v>105.48957456246733</v>
      </c>
    </row>
    <row r="12" spans="1:179" ht="15" customHeight="1" x14ac:dyDescent="0.3">
      <c r="A12" s="53" t="s">
        <v>515</v>
      </c>
      <c r="B12" s="54">
        <v>276.488</v>
      </c>
      <c r="C12" s="91">
        <f>IF($B$13&lt;&gt;0,B12*100/$B$13,0)</f>
        <v>3.6403183079750789</v>
      </c>
      <c r="D12" s="54">
        <v>232.589</v>
      </c>
      <c r="E12" s="91">
        <f>IF($D$13&lt;&gt;0,D12*100/$D$13,0)</f>
        <v>3.0049842980206867</v>
      </c>
      <c r="F12" s="54">
        <v>211.74700000000001</v>
      </c>
      <c r="G12" s="91">
        <f>IF($F$13&lt;&gt;0,F12*100/$F$13,0)</f>
        <v>2.534624903117304</v>
      </c>
      <c r="H12" s="48">
        <f t="shared" si="1"/>
        <v>91.039129107567433</v>
      </c>
    </row>
    <row r="13" spans="1:179" s="2" customFormat="1" ht="15" customHeight="1" thickBot="1" x14ac:dyDescent="0.35">
      <c r="A13" s="81" t="s">
        <v>516</v>
      </c>
      <c r="B13" s="82">
        <f t="shared" ref="B13:G13" si="3">B6+B10</f>
        <v>7595.16</v>
      </c>
      <c r="C13" s="97">
        <f t="shared" si="3"/>
        <v>100</v>
      </c>
      <c r="D13" s="82">
        <f t="shared" si="3"/>
        <v>7740.1069999999991</v>
      </c>
      <c r="E13" s="97">
        <f t="shared" si="3"/>
        <v>100</v>
      </c>
      <c r="F13" s="82">
        <f t="shared" si="3"/>
        <v>8354.1749999999993</v>
      </c>
      <c r="G13" s="97">
        <f t="shared" si="3"/>
        <v>100</v>
      </c>
      <c r="H13" s="98">
        <f t="shared" si="1"/>
        <v>107.93358541425849</v>
      </c>
      <c r="I13"/>
      <c r="J13"/>
      <c r="K13"/>
      <c r="L13"/>
      <c r="M13"/>
      <c r="N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</row>
  </sheetData>
  <customSheetViews>
    <customSheetView guid="{5507C501-9942-4310-9E0E-987180BD1180}">
      <selection activeCell="B6" sqref="B6"/>
      <pageMargins left="0.7" right="0.7" top="0.75" bottom="0.75" header="0.3" footer="0.3"/>
      <pageSetup paperSize="9" orientation="portrait" verticalDpi="0" r:id="rId1"/>
    </customSheetView>
    <customSheetView guid="{54A0E5BB-5A66-4415-88CA-030F3BDE4337}">
      <selection activeCell="A28" sqref="A28"/>
      <pageMargins left="0.7" right="0.7" top="0.75" bottom="0.75" header="0.3" footer="0.3"/>
      <pageSetup paperSize="9" orientation="portrait" verticalDpi="0" r:id="rId2"/>
    </customSheetView>
  </customSheetViews>
  <mergeCells count="5">
    <mergeCell ref="H4:H5"/>
    <mergeCell ref="A4:A5"/>
    <mergeCell ref="B4:C4"/>
    <mergeCell ref="D4:E4"/>
    <mergeCell ref="F4:G4"/>
  </mergeCells>
  <pageMargins left="0.7" right="0.7" top="0.75" bottom="0.75" header="0.3" footer="0.3"/>
  <pageSetup paperSize="9" orientation="portrait" verticalDpi="0" r:id="rId3"/>
  <ignoredErrors>
    <ignoredError sqref="C10:G10 C13:G13 C11 E11 C12 E12 G11 G12" formula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41</vt:i4>
      </vt:variant>
    </vt:vector>
  </HeadingPairs>
  <TitlesOfParts>
    <vt:vector size="81" baseType="lpstr">
      <vt:lpstr>Info</vt:lpstr>
      <vt:lpstr>Tabele</vt:lpstr>
      <vt:lpstr>Tab 0</vt:lpstr>
      <vt:lpstr>Tab 1</vt:lpstr>
      <vt:lpstr>Tab 2</vt:lpstr>
      <vt:lpstr>Tab 3</vt:lpstr>
      <vt:lpstr>Tab 4</vt:lpstr>
      <vt:lpstr>Tab 5</vt:lpstr>
      <vt:lpstr>Tab 6</vt:lpstr>
      <vt:lpstr>Tab 7</vt:lpstr>
      <vt:lpstr>Tab 8</vt:lpstr>
      <vt:lpstr>Tab 9</vt:lpstr>
      <vt:lpstr>Tab 10</vt:lpstr>
      <vt:lpstr>Tab 11</vt:lpstr>
      <vt:lpstr>Tab 12</vt:lpstr>
      <vt:lpstr>Tab 13</vt:lpstr>
      <vt:lpstr>Tab 14</vt:lpstr>
      <vt:lpstr>Tab 15</vt:lpstr>
      <vt:lpstr>Tab 16</vt:lpstr>
      <vt:lpstr>Tab 17</vt:lpstr>
      <vt:lpstr>Tab 18</vt:lpstr>
      <vt:lpstr>Tab 19</vt:lpstr>
      <vt:lpstr>Tab 20</vt:lpstr>
      <vt:lpstr>Tab 21</vt:lpstr>
      <vt:lpstr>Tab 22</vt:lpstr>
      <vt:lpstr>Tab 23</vt:lpstr>
      <vt:lpstr>Tab 24</vt:lpstr>
      <vt:lpstr>Tab 25</vt:lpstr>
      <vt:lpstr>Tab 26</vt:lpstr>
      <vt:lpstr>Tab 27</vt:lpstr>
      <vt:lpstr>Tab 28</vt:lpstr>
      <vt:lpstr>Tab 29</vt:lpstr>
      <vt:lpstr>Tab 30</vt:lpstr>
      <vt:lpstr>Tab 31</vt:lpstr>
      <vt:lpstr>Tab 32</vt:lpstr>
      <vt:lpstr>Tab 33</vt:lpstr>
      <vt:lpstr>Tab 34</vt:lpstr>
      <vt:lpstr>Pr 1</vt:lpstr>
      <vt:lpstr>Pr 2</vt:lpstr>
      <vt:lpstr>Pr 3</vt:lpstr>
      <vt:lpstr>'Tab 33'!_ftn2</vt:lpstr>
      <vt:lpstr>'Tab 33'!_ftn3</vt:lpstr>
      <vt:lpstr>'Pr 1'!Print_Area</vt:lpstr>
      <vt:lpstr>'Pr 2'!Print_Area</vt:lpstr>
      <vt:lpstr>'Pr 3'!Print_Area</vt:lpstr>
      <vt:lpstr>'Tab 0'!Print_Area</vt:lpstr>
      <vt:lpstr>'Tab 1'!Print_Area</vt:lpstr>
      <vt:lpstr>'Tab 10'!Print_Area</vt:lpstr>
      <vt:lpstr>'Tab 11'!Print_Area</vt:lpstr>
      <vt:lpstr>'Tab 12'!Print_Area</vt:lpstr>
      <vt:lpstr>'Tab 13'!Print_Area</vt:lpstr>
      <vt:lpstr>'Tab 14'!Print_Area</vt:lpstr>
      <vt:lpstr>'Tab 15'!Print_Area</vt:lpstr>
      <vt:lpstr>'Tab 16'!Print_Area</vt:lpstr>
      <vt:lpstr>'Tab 17'!Print_Area</vt:lpstr>
      <vt:lpstr>'Tab 18'!Print_Area</vt:lpstr>
      <vt:lpstr>'Tab 19'!Print_Area</vt:lpstr>
      <vt:lpstr>'Tab 2'!Print_Area</vt:lpstr>
      <vt:lpstr>'Tab 20'!Print_Area</vt:lpstr>
      <vt:lpstr>'Tab 21'!Print_Area</vt:lpstr>
      <vt:lpstr>'Tab 22'!Print_Area</vt:lpstr>
      <vt:lpstr>'Tab 23'!Print_Area</vt:lpstr>
      <vt:lpstr>'Tab 24'!Print_Area</vt:lpstr>
      <vt:lpstr>'Tab 25'!Print_Area</vt:lpstr>
      <vt:lpstr>'Tab 26'!Print_Area</vt:lpstr>
      <vt:lpstr>'Tab 27'!Print_Area</vt:lpstr>
      <vt:lpstr>'Tab 28'!Print_Area</vt:lpstr>
      <vt:lpstr>'Tab 29'!Print_Area</vt:lpstr>
      <vt:lpstr>'Tab 3'!Print_Area</vt:lpstr>
      <vt:lpstr>'Tab 30'!Print_Area</vt:lpstr>
      <vt:lpstr>'Tab 31'!Print_Area</vt:lpstr>
      <vt:lpstr>'Tab 32'!Print_Area</vt:lpstr>
      <vt:lpstr>'Tab 33'!Print_Area</vt:lpstr>
      <vt:lpstr>'Tab 34'!Print_Area</vt:lpstr>
      <vt:lpstr>'Tab 4'!Print_Area</vt:lpstr>
      <vt:lpstr>'Tab 5'!Print_Area</vt:lpstr>
      <vt:lpstr>'Tab 6'!Print_Area</vt:lpstr>
      <vt:lpstr>'Tab 7'!Print_Area</vt:lpstr>
      <vt:lpstr>'Tab 8'!Print_Area</vt:lpstr>
      <vt:lpstr>'Tab 9'!Print_Area</vt:lpstr>
      <vt:lpstr>Tabele!Print_Area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Vasilić</dc:creator>
  <cp:lastModifiedBy>ABRS</cp:lastModifiedBy>
  <cp:lastPrinted>2022-03-28T08:02:25Z</cp:lastPrinted>
  <dcterms:created xsi:type="dcterms:W3CDTF">2019-07-26T12:02:38Z</dcterms:created>
  <dcterms:modified xsi:type="dcterms:W3CDTF">2025-03-24T07:06:46Z</dcterms:modified>
</cp:coreProperties>
</file>