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ags-fs-01\IKT\WEB_ABRS\01 Banke\02 OdlukeBanke\"/>
    </mc:Choice>
  </mc:AlternateContent>
  <xr:revisionPtr revIDLastSave="0" documentId="13_ncr:1_{00677823-CC40-4CA7-B266-9E4DE64CB085}" xr6:coauthVersionLast="47" xr6:coauthVersionMax="47" xr10:uidLastSave="{00000000-0000-0000-0000-000000000000}"/>
  <workbookProtection workbookAlgorithmName="SHA-512" workbookHashValue="Pc+ZThPMfIMzOPPLk7jZe0CeAEd9Uc22lNetYeqGkdHqGSM6eI9INEeoESuONeHocGBYCVHDcglshAIY1gdDUw==" workbookSaltValue="NGwu4K2rwduouSKzsE2GiQ==" workbookSpinCount="100000" lockStructure="1"/>
  <bookViews>
    <workbookView xWindow="-108" yWindow="-108" windowWidth="30936" windowHeight="16776" tabRatio="705" xr2:uid="{44410979-1813-4ADC-BAAC-AE465A8DAE42}"/>
  </bookViews>
  <sheets>
    <sheet name="Структура_NMD" sheetId="3" r:id="rId1"/>
    <sheet name="NMD" sheetId="1" r:id="rId2"/>
    <sheet name="Кредити_са_фкс_ПО" sheetId="4" r:id="rId3"/>
    <sheet name="Орочени_депозити_ПР" sheetId="5" r:id="rId4"/>
    <sheet name="AO_пријевремена_отплата" sheetId="10" r:id="rId5"/>
    <sheet name="AO_ограничења" sheetId="9" r:id="rId6"/>
    <sheet name="J 02.00" sheetId="7" r:id="rId7"/>
    <sheet name="J 05.00" sheetId="8" r:id="rId8"/>
  </sheets>
  <externalReferences>
    <externalReference r:id="rId9"/>
    <externalReference r:id="rId10"/>
    <externalReference r:id="rId11"/>
  </externalReferences>
  <definedNames>
    <definedName name="_1F17_Attr_Indvƒ" localSheetId="5">#REF!</definedName>
    <definedName name="_1F17_Attr_Indvƒ" localSheetId="4">#REF!</definedName>
    <definedName name="_1F17_Attr_Indvƒ" localSheetId="2">#REF!</definedName>
    <definedName name="_1F17_Attr_Indvƒ" localSheetId="3">#REF!</definedName>
    <definedName name="_1F17_Attr_Indvƒ">#REF!</definedName>
    <definedName name="_2F17_Attr_Indvƒ__00000000" localSheetId="2">#REF!</definedName>
    <definedName name="_2F17_Attr_Indvƒ__00000000">#REF!</definedName>
    <definedName name="a" localSheetId="2">#REF!</definedName>
    <definedName name="a">#REF!</definedName>
    <definedName name="aaaaaaa">#REF!</definedName>
    <definedName name="Ass">#REF!</definedName>
    <definedName name="CF17_Attr_ABnk_15D_Am_AMD">#REF!</definedName>
    <definedName name="CF17_Attr_ABnk_15D_Am_EUR">#REF!</definedName>
    <definedName name="CF17_Attr_ABnk_15D_Am_OthC">#REF!</definedName>
    <definedName name="CF17_Attr_ABnk_15D_Am_RUR">#REF!</definedName>
    <definedName name="CF17_Attr_ABnk_15D_Am_USD">#REF!</definedName>
    <definedName name="CF17_Attr_ABnk_15D_I_AMD">#REF!</definedName>
    <definedName name="CF17_Attr_ABnk_15D_I_EUR">#REF!</definedName>
    <definedName name="CF17_Attr_ABnk_15D_I_OthC">#REF!</definedName>
    <definedName name="CF17_Attr_ABnk_15D_I_RUR">#REF!</definedName>
    <definedName name="CF17_Attr_ABnk_15D_I_USD">#REF!</definedName>
    <definedName name="CF17_Attr_ABnk_180D_Am_AMD">#REF!</definedName>
    <definedName name="CF17_Attr_ABnk_180D_Am_EUR">#REF!</definedName>
    <definedName name="CF17_Attr_ABnk_180D_Am_OthC">#REF!</definedName>
    <definedName name="CF17_Attr_ABnk_180D_Am_RUR">#REF!</definedName>
    <definedName name="CF17_Attr_ABnk_180D_Am_USD">#REF!</definedName>
    <definedName name="CF17_Attr_ABnk_180D_I_AMD">#REF!</definedName>
    <definedName name="CF17_Attr_ABnk_180D_I_EUR">#REF!</definedName>
    <definedName name="CF17_Attr_ABnk_180D_I_OthC">#REF!</definedName>
    <definedName name="CF17_Attr_ABnk_180D_I_RUR">#REF!</definedName>
    <definedName name="CF17_Attr_ABnk_180D_I_USD">#REF!</definedName>
    <definedName name="CF17_Attr_ABnk_30D_Am_AMD">#REF!</definedName>
    <definedName name="CF17_Attr_ABnk_30D_Am_EUR">#REF!</definedName>
    <definedName name="CF17_Attr_ABnk_30D_Am_OthC">#REF!</definedName>
    <definedName name="CF17_Attr_ABnk_30D_Am_RUR">#REF!</definedName>
    <definedName name="CF17_Attr_ABnk_30D_Am_USD">#REF!</definedName>
    <definedName name="CF17_Attr_ABnk_30D_I_AMD">#REF!</definedName>
    <definedName name="CF17_Attr_ABnk_30D_I_EUR">#REF!</definedName>
    <definedName name="CF17_Attr_ABnk_30D_I_OthC">#REF!</definedName>
    <definedName name="CF17_Attr_ABnk_30D_I_RUR">#REF!</definedName>
    <definedName name="CF17_Attr_ABnk_30D_I_USD">#REF!</definedName>
    <definedName name="CF17_Attr_ABnk_360D_Am_AMD">#REF!</definedName>
    <definedName name="CF17_Attr_ABnk_360D_Am_EUR">#REF!</definedName>
    <definedName name="CF17_Attr_ABnk_360D_Am_OthC">#REF!</definedName>
    <definedName name="CF17_Attr_ABnk_360D_Am_RUR">#REF!</definedName>
    <definedName name="CF17_Attr_ABnk_360D_Am_USD">#REF!</definedName>
    <definedName name="CF17_Attr_ABnk_360D_I_AMD">#REF!</definedName>
    <definedName name="CF17_Attr_ABnk_360D_I_EUR">#REF!</definedName>
    <definedName name="CF17_Attr_ABnk_360D_I_OthC">#REF!</definedName>
    <definedName name="CF17_Attr_ABnk_360D_I_RUR">#REF!</definedName>
    <definedName name="CF17_Attr_ABnk_360D_I_USD">#REF!</definedName>
    <definedName name="CF17_Attr_ABnk_60D_Am_AMD">#REF!</definedName>
    <definedName name="CF17_Attr_ABnk_60D_Am_EUR">#REF!</definedName>
    <definedName name="CF17_Attr_ABnk_60D_Am_OthC">#REF!</definedName>
    <definedName name="CF17_Attr_ABnk_60D_Am_RUR">#REF!</definedName>
    <definedName name="CF17_Attr_ABnk_60D_Am_USD">#REF!</definedName>
    <definedName name="CF17_Attr_ABnk_60D_I_AMD">#REF!</definedName>
    <definedName name="CF17_Attr_ABnk_60D_I_EUR">#REF!</definedName>
    <definedName name="CF17_Attr_ABnk_60D_I_OthC">#REF!</definedName>
    <definedName name="CF17_Attr_ABnk_60D_I_RUR">#REF!</definedName>
    <definedName name="CF17_Attr_ABnk_60D_I_USD">#REF!</definedName>
    <definedName name="CF17_Attr_ABnk_90D_Am_AMD">#REF!</definedName>
    <definedName name="CF17_Attr_ABnk_90D_Am_EUR">#REF!</definedName>
    <definedName name="CF17_Attr_ABnk_90D_Am_OthC">#REF!</definedName>
    <definedName name="CF17_Attr_ABnk_90D_Am_RUR">#REF!</definedName>
    <definedName name="CF17_Attr_ABnk_90D_Am_USD">#REF!</definedName>
    <definedName name="CF17_Attr_ABnk_90D_I_AMD">#REF!</definedName>
    <definedName name="CF17_Attr_ABnk_90D_I_EUR">#REF!</definedName>
    <definedName name="CF17_Attr_ABnk_90D_I_OthC">#REF!</definedName>
    <definedName name="CF17_Attr_ABnk_90D_I_RUR">#REF!</definedName>
    <definedName name="CF17_Attr_ABnk_90D_I_USD">#REF!</definedName>
    <definedName name="CF17_Attr_ABnk_Dem_Am_AMD">#REF!</definedName>
    <definedName name="CF17_Attr_ABnk_Dem_Am_EUR">#REF!</definedName>
    <definedName name="CF17_Attr_ABnk_Dem_Am_OthC">#REF!</definedName>
    <definedName name="CF17_Attr_ABnk_Dem_Am_RUR">#REF!</definedName>
    <definedName name="CF17_Attr_ABnk_Dem_Am_USD">#REF!</definedName>
    <definedName name="CF17_Attr_ABnk_Dem_I_AMD">#REF!</definedName>
    <definedName name="CF17_Attr_ABnk_Dem_I_EUR">#REF!</definedName>
    <definedName name="CF17_Attr_ABnk_Dem_I_OthC">#REF!</definedName>
    <definedName name="CF17_Attr_ABnk_Dem_I_RUR">#REF!</definedName>
    <definedName name="CF17_Attr_ABnk_Dem_I_USD">#REF!</definedName>
    <definedName name="CF17_Attr_ABnk_Mr360D_Am_AMD">#REF!</definedName>
    <definedName name="CF17_Attr_ABnk_Mr360D_Am_EUR">#REF!</definedName>
    <definedName name="CF17_Attr_ABnk_Mr360D_Am_OthC">#REF!</definedName>
    <definedName name="CF17_Attr_ABnk_Mr360D_Am_RUR">#REF!</definedName>
    <definedName name="CF17_Attr_ABnk_Mr360D_Am_USD">#REF!</definedName>
    <definedName name="CF17_Attr_ABnk_Mr360D_I_AMD">#REF!</definedName>
    <definedName name="CF17_Attr_ABnk_Mr360D_I_EUR">#REF!</definedName>
    <definedName name="CF17_Attr_ABnk_Mr360D_I_OthC">#REF!</definedName>
    <definedName name="CF17_Attr_ABnk_Mr360D_I_RUR">#REF!</definedName>
    <definedName name="CF17_Attr_ABnk_Mr360D_I_USD">#REF!</definedName>
    <definedName name="CF17_Attr_Bus_15D_Am_AMD">#REF!</definedName>
    <definedName name="CF17_Attr_Bus_15D_Am_EUR">#REF!</definedName>
    <definedName name="CF17_Attr_Bus_15D_Am_OthC">#REF!</definedName>
    <definedName name="CF17_Attr_Bus_15D_Am_RUR">#REF!</definedName>
    <definedName name="CF17_Attr_Bus_15D_Am_USD">#REF!</definedName>
    <definedName name="CF17_Attr_Bus_15D_I_AMD">#REF!</definedName>
    <definedName name="CF17_Attr_Bus_15D_I_EUR">#REF!</definedName>
    <definedName name="CF17_Attr_Bus_15D_I_OthC">#REF!</definedName>
    <definedName name="CF17_Attr_Bus_15D_I_RUR">#REF!</definedName>
    <definedName name="CF17_Attr_Bus_15D_I_USD">#REF!</definedName>
    <definedName name="CF17_Attr_Bus_180D_Am_AMD">#REF!</definedName>
    <definedName name="CF17_Attr_Bus_180D_Am_EUR">#REF!</definedName>
    <definedName name="CF17_Attr_Bus_180D_Am_OthC">#REF!</definedName>
    <definedName name="CF17_Attr_Bus_180D_Am_RUR">#REF!</definedName>
    <definedName name="CF17_Attr_Bus_180D_Am_USD">#REF!</definedName>
    <definedName name="CF17_Attr_Bus_180D_I_AMD">#REF!</definedName>
    <definedName name="CF17_Attr_Bus_180D_I_EUR">#REF!</definedName>
    <definedName name="CF17_Attr_Bus_180D_I_OthC">#REF!</definedName>
    <definedName name="CF17_Attr_Bus_180D_I_RUR">#REF!</definedName>
    <definedName name="CF17_Attr_Bus_180D_I_USD">#REF!</definedName>
    <definedName name="CF17_Attr_Bus_30D_Am_AMD">#REF!</definedName>
    <definedName name="CF17_Attr_Bus_30D_Am_EUR">#REF!</definedName>
    <definedName name="CF17_Attr_Bus_30D_Am_OthC">#REF!</definedName>
    <definedName name="CF17_Attr_Bus_30D_Am_RUR">#REF!</definedName>
    <definedName name="CF17_Attr_Bus_30D_Am_USD">#REF!</definedName>
    <definedName name="CF17_Attr_Bus_30D_I_AMD">#REF!</definedName>
    <definedName name="CF17_Attr_Bus_30D_I_EUR">#REF!</definedName>
    <definedName name="CF17_Attr_Bus_30D_I_OthC">#REF!</definedName>
    <definedName name="CF17_Attr_Bus_30D_I_RUR">#REF!</definedName>
    <definedName name="CF17_Attr_Bus_30D_I_USD">#REF!</definedName>
    <definedName name="CF17_Attr_Bus_360D_Am_AMD">#REF!</definedName>
    <definedName name="CF17_Attr_Bus_360D_Am_EUR">#REF!</definedName>
    <definedName name="CF17_Attr_Bus_360D_Am_OthC">#REF!</definedName>
    <definedName name="CF17_Attr_Bus_360D_Am_RUR">#REF!</definedName>
    <definedName name="CF17_Attr_Bus_360D_Am_USD">#REF!</definedName>
    <definedName name="CF17_Attr_Bus_360D_I_AMD">#REF!</definedName>
    <definedName name="CF17_Attr_Bus_360D_I_EUR">#REF!</definedName>
    <definedName name="CF17_Attr_Bus_360D_I_OthC">#REF!</definedName>
    <definedName name="CF17_Attr_Bus_360D_I_RUR">#REF!</definedName>
    <definedName name="CF17_Attr_Bus_360D_I_USD">#REF!</definedName>
    <definedName name="CF17_Attr_Bus_60D_Am_AMD">#REF!</definedName>
    <definedName name="CF17_Attr_Bus_60D_Am_EUR">#REF!</definedName>
    <definedName name="CF17_Attr_Bus_60D_Am_OthC">#REF!</definedName>
    <definedName name="CF17_Attr_Bus_60D_Am_RUR">#REF!</definedName>
    <definedName name="CF17_Attr_Bus_60D_Am_USD">#REF!</definedName>
    <definedName name="CF17_Attr_Bus_60D_I_AMD">#REF!</definedName>
    <definedName name="CF17_Attr_Bus_60D_I_EUR">#REF!</definedName>
    <definedName name="CF17_Attr_Bus_60D_I_OthC">#REF!</definedName>
    <definedName name="CF17_Attr_Bus_60D_I_RUR">#REF!</definedName>
    <definedName name="CF17_Attr_Bus_60D_I_USD">#REF!</definedName>
    <definedName name="CF17_Attr_Bus_90D_Am_AMD">#REF!</definedName>
    <definedName name="CF17_Attr_Bus_90D_Am_EUR">#REF!</definedName>
    <definedName name="CF17_Attr_Bus_90D_Am_OthC">#REF!</definedName>
    <definedName name="CF17_Attr_Bus_90D_Am_RUR">#REF!</definedName>
    <definedName name="CF17_Attr_Bus_90D_Am_USD">#REF!</definedName>
    <definedName name="CF17_Attr_Bus_90D_I_AMD">#REF!</definedName>
    <definedName name="CF17_Attr_Bus_90D_I_EUR">#REF!</definedName>
    <definedName name="CF17_Attr_Bus_90D_I_OthC">#REF!</definedName>
    <definedName name="CF17_Attr_Bus_90D_I_RUR">#REF!</definedName>
    <definedName name="CF17_Attr_Bus_90D_I_USD">#REF!</definedName>
    <definedName name="CF17_Attr_Bus_Dem_Am_AMD">#REF!</definedName>
    <definedName name="CF17_Attr_Bus_Dem_Am_EUR">#REF!</definedName>
    <definedName name="CF17_Attr_Bus_Dem_Am_OthC">#REF!</definedName>
    <definedName name="CF17_Attr_Bus_Dem_Am_RUR">#REF!</definedName>
    <definedName name="CF17_Attr_Bus_Dem_Am_USD">#REF!</definedName>
    <definedName name="CF17_Attr_Bus_Dem_I_AMD">#REF!</definedName>
    <definedName name="CF17_Attr_Bus_Dem_I_EUR">#REF!</definedName>
    <definedName name="CF17_Attr_Bus_Dem_I_OthC">#REF!</definedName>
    <definedName name="CF17_Attr_Bus_Dem_I_RUR">#REF!</definedName>
    <definedName name="CF17_Attr_Bus_Dem_I_USD">#REF!</definedName>
    <definedName name="CF17_Attr_Bus_Mr360D_Am_AMD">#REF!</definedName>
    <definedName name="CF17_Attr_Bus_Mr360D_Am_EUR">#REF!</definedName>
    <definedName name="CF17_Attr_Bus_Mr360D_Am_OthC">#REF!</definedName>
    <definedName name="CF17_Attr_Bus_Mr360D_Am_RUR">#REF!</definedName>
    <definedName name="CF17_Attr_Bus_Mr360D_Am_USD">#REF!</definedName>
    <definedName name="CF17_Attr_Bus_Mr360D_I_AMD">#REF!</definedName>
    <definedName name="CF17_Attr_Bus_Mr360D_I_EUR">#REF!</definedName>
    <definedName name="CF17_Attr_Bus_Mr360D_I_OthC">#REF!</definedName>
    <definedName name="CF17_Attr_Bus_Mr360D_I_RUR">#REF!</definedName>
    <definedName name="CF17_Attr_Bus_Mr360D_I_USD">#REF!</definedName>
    <definedName name="CF17_Attr_Ind_15D_Am_AMD">#REF!</definedName>
    <definedName name="CF17_Attr_Ind_15D_Am_EUR">#REF!</definedName>
    <definedName name="CF17_Attr_Ind_15D_Am_OthC">#REF!</definedName>
    <definedName name="CF17_Attr_Ind_15D_Am_RUR">#REF!</definedName>
    <definedName name="CF17_Attr_Ind_15D_Am_USD">#REF!</definedName>
    <definedName name="CF17_Attr_Ind_15D_I_AMD">#REF!</definedName>
    <definedName name="CF17_Attr_Ind_15D_I_EUR">#REF!</definedName>
    <definedName name="CF17_Attr_Ind_15D_I_OthC">#REF!</definedName>
    <definedName name="CF17_Attr_Ind_15D_I_RUR">#REF!</definedName>
    <definedName name="CF17_Attr_Ind_15D_I_USD">#REF!</definedName>
    <definedName name="CF17_Attr_Ind_180D_Am_AMD">#REF!</definedName>
    <definedName name="CF17_Attr_Ind_180D_Am_EUR">#REF!</definedName>
    <definedName name="CF17_Attr_Ind_180D_Am_OthC">#REF!</definedName>
    <definedName name="CF17_Attr_Ind_180D_Am_RUR">#REF!</definedName>
    <definedName name="CF17_Attr_Ind_180D_Am_USD">#REF!</definedName>
    <definedName name="CF17_Attr_Ind_180D_I_AMD">#REF!</definedName>
    <definedName name="CF17_Attr_Ind_180D_I_EUR">#REF!</definedName>
    <definedName name="CF17_Attr_Ind_180D_I_OthC">#REF!</definedName>
    <definedName name="CF17_Attr_Ind_180D_I_RUR">#REF!</definedName>
    <definedName name="CF17_Attr_Ind_180D_I_USD">#REF!</definedName>
    <definedName name="CF17_Attr_Ind_30D_Am_AMD">#REF!</definedName>
    <definedName name="CF17_Attr_Ind_30D_Am_EUR">#REF!</definedName>
    <definedName name="CF17_Attr_Ind_30D_Am_OthC">#REF!</definedName>
    <definedName name="CF17_Attr_Ind_30D_Am_RUR">#REF!</definedName>
    <definedName name="CF17_Attr_Ind_30D_Am_USD">#REF!</definedName>
    <definedName name="CF17_Attr_Ind_30D_I_AMD">#REF!</definedName>
    <definedName name="CF17_Attr_Ind_30D_I_EUR">#REF!</definedName>
    <definedName name="CF17_Attr_Ind_30D_I_OthC">#REF!</definedName>
    <definedName name="CF17_Attr_Ind_30D_I_RUR">#REF!</definedName>
    <definedName name="CF17_Attr_Ind_30D_I_USD">#REF!</definedName>
    <definedName name="CF17_Attr_Ind_360D_Am_AMD">#REF!</definedName>
    <definedName name="CF17_Attr_Ind_360D_Am_EUR">#REF!</definedName>
    <definedName name="CF17_Attr_Ind_360D_Am_OthC">#REF!</definedName>
    <definedName name="CF17_Attr_Ind_360D_Am_RUR">#REF!</definedName>
    <definedName name="CF17_Attr_Ind_360D_Am_USD">#REF!</definedName>
    <definedName name="CF17_Attr_Ind_360D_I_AMD">#REF!</definedName>
    <definedName name="CF17_Attr_Ind_360D_I_EUR">#REF!</definedName>
    <definedName name="CF17_Attr_Ind_360D_I_OthC">#REF!</definedName>
    <definedName name="CF17_Attr_Ind_360D_I_RUR">#REF!</definedName>
    <definedName name="CF17_Attr_Ind_360D_I_USD">#REF!</definedName>
    <definedName name="CF17_Attr_Ind_60D_Am_AMD">#REF!</definedName>
    <definedName name="CF17_Attr_Ind_60D_Am_EUR">#REF!</definedName>
    <definedName name="CF17_Attr_Ind_60D_Am_OthC">#REF!</definedName>
    <definedName name="CF17_Attr_Ind_60D_Am_RUR">#REF!</definedName>
    <definedName name="CF17_Attr_Ind_60D_Am_USD">#REF!</definedName>
    <definedName name="CF17_Attr_Ind_60D_I_AMD">#REF!</definedName>
    <definedName name="CF17_Attr_Ind_60D_I_EUR">#REF!</definedName>
    <definedName name="CF17_Attr_Ind_60D_I_OthC">#REF!</definedName>
    <definedName name="CF17_Attr_Ind_60D_I_RUR">#REF!</definedName>
    <definedName name="CF17_Attr_Ind_60D_I_USD">#REF!</definedName>
    <definedName name="CF17_Attr_Ind_90D_Am_AMD">#REF!</definedName>
    <definedName name="CF17_Attr_Ind_90D_Am_EUR">#REF!</definedName>
    <definedName name="CF17_Attr_Ind_90D_Am_OthC">#REF!</definedName>
    <definedName name="CF17_Attr_Ind_90D_Am_RUR">#REF!</definedName>
    <definedName name="CF17_Attr_Ind_90D_Am_USD">#REF!</definedName>
    <definedName name="CF17_Attr_Ind_90D_I_AMD">#REF!</definedName>
    <definedName name="CF17_Attr_Ind_90D_I_EUR">#REF!</definedName>
    <definedName name="CF17_Attr_Ind_90D_I_OthC">#REF!</definedName>
    <definedName name="CF17_Attr_Ind_90D_I_RUR">#REF!</definedName>
    <definedName name="CF17_Attr_Ind_90D_I_USD">#REF!</definedName>
    <definedName name="CF17_Attr_Ind_Dem_Am_AMD">#REF!</definedName>
    <definedName name="CF17_Attr_Ind_Dem_Am_EUR">#REF!</definedName>
    <definedName name="CF17_Attr_Ind_Dem_Am_OthC">#REF!</definedName>
    <definedName name="CF17_Attr_Ind_Dem_Am_RUR">#REF!</definedName>
    <definedName name="CF17_Attr_Ind_Dem_Am_USD">#REF!</definedName>
    <definedName name="CF17_Attr_Ind_Dem_I_AMD">#REF!</definedName>
    <definedName name="CF17_Attr_Ind_Dem_I_EUR">#REF!</definedName>
    <definedName name="CF17_Attr_Ind_Dem_I_OthC">#REF!</definedName>
    <definedName name="CF17_Attr_Ind_Dem_I_RUR">#REF!</definedName>
    <definedName name="CF17_Attr_Ind_Dem_I_USD">#REF!</definedName>
    <definedName name="CF17_Attr_Ind_Mr360D_Am_AMD">#REF!</definedName>
    <definedName name="CF17_Attr_Ind_Mr360D_Am_EUR">#REF!</definedName>
    <definedName name="CF17_Attr_Ind_Mr360D_Am_OthC">#REF!</definedName>
    <definedName name="CF17_Attr_Ind_Mr360D_Am_RUR">#REF!</definedName>
    <definedName name="CF17_Attr_Ind_Mr360D_Am_USD">#REF!</definedName>
    <definedName name="CF17_Attr_Ind_Mr360D_I_AMD">#REF!</definedName>
    <definedName name="CF17_Attr_Ind_Mr360D_I_EUR">#REF!</definedName>
    <definedName name="CF17_Attr_Ind_Mr360D_I_OthC">#REF!</definedName>
    <definedName name="CF17_Attr_Ind_Mr360D_I_RUR">#REF!</definedName>
    <definedName name="CF17_Attr_Ind_Mr360D_I_USD">#REF!</definedName>
    <definedName name="CF17_Attr_IndCo_Mr360D_Am_OthC">#REF!</definedName>
    <definedName name="CF17_Attr_IndCor_15D_Am_AMD">#REF!</definedName>
    <definedName name="CF17_Attr_IndCor_15D_Am_EUR">#REF!</definedName>
    <definedName name="CF17_Attr_IndCor_15D_Am_OthC">#REF!</definedName>
    <definedName name="CF17_Attr_IndCor_15D_Am_RUR">#REF!</definedName>
    <definedName name="CF17_Attr_IndCor_15D_Am_USD">#REF!</definedName>
    <definedName name="CF17_Attr_IndCor_15D_I_AMD">#REF!</definedName>
    <definedName name="CF17_Attr_IndCor_15D_I_EUR">#REF!</definedName>
    <definedName name="CF17_Attr_IndCor_15D_I_OthC">#REF!</definedName>
    <definedName name="CF17_Attr_IndCor_15D_I_RUR">#REF!</definedName>
    <definedName name="CF17_Attr_IndCor_15D_I_USD">#REF!</definedName>
    <definedName name="CF17_Attr_IndCor_180D_Am_AMD">#REF!</definedName>
    <definedName name="CF17_Attr_IndCor_180D_Am_EUR">#REF!</definedName>
    <definedName name="CF17_Attr_IndCor_180D_Am_OthC">#REF!</definedName>
    <definedName name="CF17_Attr_IndCor_180D_Am_RUR">#REF!</definedName>
    <definedName name="CF17_Attr_IndCor_180D_Am_USD">#REF!</definedName>
    <definedName name="CF17_Attr_IndCor_180D_I_AMD">#REF!</definedName>
    <definedName name="CF17_Attr_IndCor_180D_I_EUR">#REF!</definedName>
    <definedName name="CF17_Attr_IndCor_180D_I_OthC">#REF!</definedName>
    <definedName name="CF17_Attr_IndCor_180D_I_RUR">#REF!</definedName>
    <definedName name="CF17_Attr_IndCor_180D_I_USD">#REF!</definedName>
    <definedName name="CF17_Attr_IndCor_30D_Am_AMD">#REF!</definedName>
    <definedName name="CF17_Attr_IndCor_30D_Am_EUR">#REF!</definedName>
    <definedName name="CF17_Attr_IndCor_30D_Am_OthC">#REF!</definedName>
    <definedName name="CF17_Attr_IndCor_30D_Am_RUR">#REF!</definedName>
    <definedName name="CF17_Attr_IndCor_30D_Am_USD">#REF!</definedName>
    <definedName name="CF17_Attr_IndCor_30D_I_AMD">#REF!</definedName>
    <definedName name="CF17_Attr_IndCor_30D_I_EUR">#REF!</definedName>
    <definedName name="CF17_Attr_IndCor_30D_I_OthC">#REF!</definedName>
    <definedName name="CF17_Attr_IndCor_30D_I_RUR">#REF!</definedName>
    <definedName name="CF17_Attr_IndCor_30D_I_USD">#REF!</definedName>
    <definedName name="CF17_Attr_IndCor_360D_Am_AMD">#REF!</definedName>
    <definedName name="CF17_Attr_IndCor_360D_Am_EUR">#REF!</definedName>
    <definedName name="CF17_Attr_IndCor_360D_Am_OthC">#REF!</definedName>
    <definedName name="CF17_Attr_IndCor_360D_Am_RUR">#REF!</definedName>
    <definedName name="CF17_Attr_IndCor_360D_Am_USD">#REF!</definedName>
    <definedName name="CF17_Attr_IndCor_360D_I_AMD">#REF!</definedName>
    <definedName name="CF17_Attr_IndCor_360D_I_EUR">#REF!</definedName>
    <definedName name="CF17_Attr_IndCor_360D_I_OthC">#REF!</definedName>
    <definedName name="CF17_Attr_IndCor_360D_I_RUR">#REF!</definedName>
    <definedName name="CF17_Attr_IndCor_360D_I_USD">#REF!</definedName>
    <definedName name="CF17_Attr_IndCor_60D_Am_AMD">#REF!</definedName>
    <definedName name="CF17_Attr_IndCor_60D_Am_EUR">#REF!</definedName>
    <definedName name="CF17_Attr_IndCor_60D_Am_OthC">#REF!</definedName>
    <definedName name="CF17_Attr_IndCor_60D_Am_RUR">#REF!</definedName>
    <definedName name="CF17_Attr_IndCor_60D_Am_USD">#REF!</definedName>
    <definedName name="CF17_Attr_IndCor_60D_I_AMD">#REF!</definedName>
    <definedName name="CF17_Attr_IndCor_60D_I_EUR">#REF!</definedName>
    <definedName name="CF17_Attr_IndCor_60D_I_OthC">#REF!</definedName>
    <definedName name="CF17_Attr_IndCor_60D_I_RUR">#REF!</definedName>
    <definedName name="CF17_Attr_IndCor_60D_I_USD">#REF!</definedName>
    <definedName name="CF17_Attr_IndCor_90D_Am_AMD">#REF!</definedName>
    <definedName name="CF17_Attr_IndCor_90D_Am_EUR">#REF!</definedName>
    <definedName name="CF17_Attr_IndCor_90D_Am_OthC">#REF!</definedName>
    <definedName name="CF17_Attr_IndCor_90D_Am_RUR">#REF!</definedName>
    <definedName name="CF17_Attr_IndCor_90D_Am_USD">#REF!</definedName>
    <definedName name="CF17_Attr_IndCor_90D_I_AMD">#REF!</definedName>
    <definedName name="CF17_Attr_IndCor_90D_I_EUR">#REF!</definedName>
    <definedName name="CF17_Attr_IndCor_90D_I_OthC">#REF!</definedName>
    <definedName name="CF17_Attr_IndCor_90D_I_RUR">#REF!</definedName>
    <definedName name="CF17_Attr_IndCor_90D_I_USD">#REF!</definedName>
    <definedName name="CF17_Attr_IndCor_Dem_Am_AMD">#REF!</definedName>
    <definedName name="CF17_Attr_IndCor_Dem_Am_EUR">#REF!</definedName>
    <definedName name="CF17_Attr_IndCor_Dem_Am_OthC">#REF!</definedName>
    <definedName name="CF17_Attr_IndCor_Dem_Am_RUR">#REF!</definedName>
    <definedName name="CF17_Attr_IndCor_Dem_Am_USD">#REF!</definedName>
    <definedName name="CF17_Attr_IndCor_Dem_I_AMD">#REF!</definedName>
    <definedName name="CF17_Attr_IndCor_Dem_I_EUR">#REF!</definedName>
    <definedName name="CF17_Attr_IndCor_Dem_I_OthC">#REF!</definedName>
    <definedName name="CF17_Attr_IndCor_Dem_I_RUR">#REF!</definedName>
    <definedName name="CF17_Attr_IndCor_Dem_I_USD">#REF!</definedName>
    <definedName name="CF17_Attr_IndCor_Mr360D_Am_AMD">#REF!</definedName>
    <definedName name="CF17_Attr_IndCor_Mr360D_Am_EUR">#REF!</definedName>
    <definedName name="CF17_Attr_IndCor_Mr360D_Am_RUR">#REF!</definedName>
    <definedName name="CF17_Attr_IndCor_Mr360D_Am_USD">#REF!</definedName>
    <definedName name="CF17_Attr_IndCor_Mr360D_I_AMD">#REF!</definedName>
    <definedName name="CF17_Attr_IndCor_Mr360D_I_EUR">#REF!</definedName>
    <definedName name="CF17_Attr_IndCor_Mr360D_I_OthC">#REF!</definedName>
    <definedName name="CF17_Attr_IndCor_Mr360D_I_RUR">#REF!</definedName>
    <definedName name="CF17_Attr_IndCor_Mr360D_I_USD">#REF!</definedName>
    <definedName name="CF17_Attr_InterPo_Mr360D_Am_AM">#REF!</definedName>
    <definedName name="CF17_Attr_InterPo_Mr360D_Am_EU">#REF!</definedName>
    <definedName name="CF17_Attr_InterPo_Mr360D_Am_Ot">#REF!</definedName>
    <definedName name="CF17_Attr_InterPo_Mr360D_Am_RU">#REF!</definedName>
    <definedName name="CF17_Attr_InterPo_Mr360D_Am_US">#REF!</definedName>
    <definedName name="CF17_Attr_InterPo_Mr360D_I_EUR">#REF!</definedName>
    <definedName name="CF17_Attr_InterPo_Mr360D_I_Oth">#REF!</definedName>
    <definedName name="CF17_Attr_InterPo_Mr360D_I_RUR">#REF!</definedName>
    <definedName name="CF17_Attr_InterPo_Mr360D_I_USD">#REF!</definedName>
    <definedName name="CF17_Attr_InterPog_15D_Am_AMD">#REF!</definedName>
    <definedName name="CF17_Attr_InterPog_15D_Am_EUR">#REF!</definedName>
    <definedName name="CF17_Attr_InterPog_15D_Am_OthC">#REF!</definedName>
    <definedName name="CF17_Attr_InterPog_15D_Am_RUR">#REF!</definedName>
    <definedName name="CF17_Attr_InterPog_15D_Am_USD">#REF!</definedName>
    <definedName name="CF17_Attr_InterPog_15D_I_AMD">#REF!</definedName>
    <definedName name="CF17_Attr_InterPog_15D_I_EUR">#REF!</definedName>
    <definedName name="CF17_Attr_InterPog_15D_I_OthC">#REF!</definedName>
    <definedName name="CF17_Attr_InterPog_15D_I_RUR">#REF!</definedName>
    <definedName name="CF17_Attr_InterPog_15D_I_USD">#REF!</definedName>
    <definedName name="CF17_Attr_InterPog_180D_Am_AMD">#REF!</definedName>
    <definedName name="CF17_Attr_InterPog_180D_Am_EUR">#REF!</definedName>
    <definedName name="CF17_Attr_InterPog_180D_Am_Oth">#REF!</definedName>
    <definedName name="CF17_Attr_InterPog_180D_Am_RUR">#REF!</definedName>
    <definedName name="CF17_Attr_InterPog_180D_Am_USD">#REF!</definedName>
    <definedName name="CF17_Attr_InterPog_180D_I_AMD">#REF!</definedName>
    <definedName name="CF17_Attr_InterPog_180D_I_EUR">#REF!</definedName>
    <definedName name="CF17_Attr_InterPog_180D_I_OthC">#REF!</definedName>
    <definedName name="CF17_Attr_InterPog_180D_I_RUR">#REF!</definedName>
    <definedName name="CF17_Attr_InterPog_180D_I_USD">#REF!</definedName>
    <definedName name="CF17_Attr_InterPog_30D_Am_AMD">#REF!</definedName>
    <definedName name="CF17_Attr_InterPog_30D_Am_EUR">#REF!</definedName>
    <definedName name="CF17_Attr_InterPog_30D_Am_OthC">#REF!</definedName>
    <definedName name="CF17_Attr_InterPog_30D_Am_RUR">#REF!</definedName>
    <definedName name="CF17_Attr_InterPog_30D_Am_USD">#REF!</definedName>
    <definedName name="CF17_Attr_InterPog_30D_I_AMD">#REF!</definedName>
    <definedName name="CF17_Attr_InterPog_30D_I_EUR">#REF!</definedName>
    <definedName name="CF17_Attr_InterPog_30D_I_OthC">#REF!</definedName>
    <definedName name="CF17_Attr_InterPog_30D_I_RUR">#REF!</definedName>
    <definedName name="CF17_Attr_InterPog_30D_I_USD">#REF!</definedName>
    <definedName name="CF17_Attr_InterPog_360D_Am_AMD">#REF!</definedName>
    <definedName name="CF17_Attr_InterPog_360D_Am_EUR">#REF!</definedName>
    <definedName name="CF17_Attr_InterPog_360D_Am_Oth">#REF!</definedName>
    <definedName name="CF17_Attr_InterPog_360D_Am_RUR">#REF!</definedName>
    <definedName name="CF17_Attr_InterPog_360D_Am_USD">#REF!</definedName>
    <definedName name="CF17_Attr_InterPog_360D_I_AMD">#REF!</definedName>
    <definedName name="CF17_Attr_InterPog_360D_I_EUR">#REF!</definedName>
    <definedName name="CF17_Attr_InterPog_360D_I_OthC">#REF!</definedName>
    <definedName name="CF17_Attr_InterPog_360D_I_RUR">#REF!</definedName>
    <definedName name="CF17_Attr_InterPog_360D_I_USD">#REF!</definedName>
    <definedName name="CF17_Attr_InterPog_60D_Am_AMD">#REF!</definedName>
    <definedName name="CF17_Attr_InterPog_60D_Am_EUR">#REF!</definedName>
    <definedName name="CF17_Attr_InterPog_60D_Am_OthC">#REF!</definedName>
    <definedName name="CF17_Attr_InterPog_60D_Am_RUR">#REF!</definedName>
    <definedName name="CF17_Attr_InterPog_60D_Am_USD">#REF!</definedName>
    <definedName name="CF17_Attr_InterPog_60D_I_AMD">#REF!</definedName>
    <definedName name="CF17_Attr_InterPog_60D_I_EUR">#REF!</definedName>
    <definedName name="CF17_Attr_InterPog_60D_I_OthC">#REF!</definedName>
    <definedName name="CF17_Attr_InterPog_60D_I_RUR">#REF!</definedName>
    <definedName name="CF17_Attr_InterPog_60D_I_USD">#REF!</definedName>
    <definedName name="CF17_Attr_InterPog_90D_Am_AMD">#REF!</definedName>
    <definedName name="CF17_Attr_InterPog_90D_Am_EUR">#REF!</definedName>
    <definedName name="CF17_Attr_InterPog_90D_Am_OthC">#REF!</definedName>
    <definedName name="CF17_Attr_InterPog_90D_Am_RUR">#REF!</definedName>
    <definedName name="CF17_Attr_InterPog_90D_Am_USD">#REF!</definedName>
    <definedName name="CF17_Attr_InterPog_90D_I_AMD">#REF!</definedName>
    <definedName name="CF17_Attr_InterPog_90D_I_EUR">#REF!</definedName>
    <definedName name="CF17_Attr_InterPog_90D_I_OthC">#REF!</definedName>
    <definedName name="CF17_Attr_InterPog_90D_I_RUR">#REF!</definedName>
    <definedName name="CF17_Attr_InterPog_90D_I_USD">#REF!</definedName>
    <definedName name="CF17_Attr_InterPog_Dem_Am_AMD">#REF!</definedName>
    <definedName name="CF17_Attr_InterPog_Dem_Am_EUR">#REF!</definedName>
    <definedName name="CF17_Attr_InterPog_Dem_Am_OthC">#REF!</definedName>
    <definedName name="CF17_Attr_InterPog_Dem_Am_RUR">#REF!</definedName>
    <definedName name="CF17_Attr_InterPog_Dem_Am_USD">#REF!</definedName>
    <definedName name="CF17_Attr_InterPog_Dem_I_AMD">#REF!</definedName>
    <definedName name="CF17_Attr_InterPog_Dem_I_EUR">#REF!</definedName>
    <definedName name="CF17_Attr_InterPog_Dem_I_OthC">#REF!</definedName>
    <definedName name="CF17_Attr_InterPog_Dem_I_RUR">#REF!</definedName>
    <definedName name="CF17_Attr_InterPog_Dem_I_USD">#REF!</definedName>
    <definedName name="CF17_Attr_InterPog_Mr360D_I_AMD">#REF!</definedName>
    <definedName name="CF17_Attr_OthBnk_15D_Am_AMD">#REF!</definedName>
    <definedName name="CF17_Attr_OthBnk_15D_Am_EUR">#REF!</definedName>
    <definedName name="CF17_Attr_OthBnk_15D_Am_OthC">#REF!</definedName>
    <definedName name="CF17_Attr_OthBnk_15D_Am_RUR">#REF!</definedName>
    <definedName name="CF17_Attr_OthBnk_15D_Am_USD">#REF!</definedName>
    <definedName name="CF17_Attr_OthBnk_15D_I_AMD">#REF!</definedName>
    <definedName name="CF17_Attr_OthBnk_15D_I_EUR">#REF!</definedName>
    <definedName name="CF17_Attr_OthBnk_15D_I_OthC">#REF!</definedName>
    <definedName name="CF17_Attr_OthBnk_15D_I_RUR">#REF!</definedName>
    <definedName name="CF17_Attr_OthBnk_15D_I_USD">#REF!</definedName>
    <definedName name="CF17_Attr_OthBnk_180D_Am_AMD">#REF!</definedName>
    <definedName name="CF17_Attr_OthBnk_180D_Am_EUR">#REF!</definedName>
    <definedName name="CF17_Attr_OthBnk_180D_Am_OthC">#REF!</definedName>
    <definedName name="CF17_Attr_OthBnk_180D_Am_RUR">#REF!</definedName>
    <definedName name="CF17_Attr_OthBnk_180D_Am_USD">#REF!</definedName>
    <definedName name="CF17_Attr_OthBnk_180D_I_AMD">#REF!</definedName>
    <definedName name="CF17_Attr_OthBnk_180D_I_EUR">#REF!</definedName>
    <definedName name="CF17_Attr_OthBnk_180D_I_OthC">#REF!</definedName>
    <definedName name="CF17_Attr_OthBnk_180D_I_RUR">#REF!</definedName>
    <definedName name="CF17_Attr_OthBnk_180D_I_USD">#REF!</definedName>
    <definedName name="CF17_Attr_OthBnk_30D_Am_AMD">#REF!</definedName>
    <definedName name="CF17_Attr_OthBnk_30D_Am_EUR">#REF!</definedName>
    <definedName name="CF17_Attr_OthBnk_30D_Am_OthC">#REF!</definedName>
    <definedName name="CF17_Attr_OthBnk_30D_Am_RUR">#REF!</definedName>
    <definedName name="CF17_Attr_OthBnk_30D_Am_USD">#REF!</definedName>
    <definedName name="CF17_Attr_OthBnk_30D_I_AMD">#REF!</definedName>
    <definedName name="CF17_Attr_OthBnk_30D_I_EUR">#REF!</definedName>
    <definedName name="CF17_Attr_OthBnk_30D_I_OthC">#REF!</definedName>
    <definedName name="CF17_Attr_OthBnk_30D_I_RUR">#REF!</definedName>
    <definedName name="CF17_Attr_OthBnk_30D_I_USD">#REF!</definedName>
    <definedName name="CF17_Attr_OthBnk_360D_Am_AMD">#REF!</definedName>
    <definedName name="CF17_Attr_OthBnk_360D_Am_EUR">#REF!</definedName>
    <definedName name="CF17_Attr_OthBnk_360D_Am_OthC">#REF!</definedName>
    <definedName name="CF17_Attr_OthBnk_360D_Am_RUR">#REF!</definedName>
    <definedName name="CF17_Attr_OthBnk_360D_Am_USD">#REF!</definedName>
    <definedName name="CF17_Attr_OthBnk_360D_I_AMD">#REF!</definedName>
    <definedName name="CF17_Attr_OthBnk_360D_I_EUR">#REF!</definedName>
    <definedName name="CF17_Attr_OthBnk_360D_I_OthC">#REF!</definedName>
    <definedName name="CF17_Attr_OthBnk_360D_I_RUR">#REF!</definedName>
    <definedName name="CF17_Attr_OthBnk_360D_I_USD">#REF!</definedName>
    <definedName name="CF17_Attr_OthBnk_60D_Am_AMD">#REF!</definedName>
    <definedName name="CF17_Attr_OthBnk_60D_Am_EUR">#REF!</definedName>
    <definedName name="CF17_Attr_OthBnk_60D_Am_OthC">#REF!</definedName>
    <definedName name="CF17_Attr_OthBnk_60D_Am_RUR">#REF!</definedName>
    <definedName name="CF17_Attr_OthBnk_60D_Am_USD">#REF!</definedName>
    <definedName name="CF17_Attr_OthBnk_60D_I_AMD">#REF!</definedName>
    <definedName name="CF17_Attr_OthBnk_60D_I_EUR">#REF!</definedName>
    <definedName name="CF17_Attr_OthBnk_60D_I_OthC">#REF!</definedName>
    <definedName name="CF17_Attr_OthBnk_60D_I_RUR">#REF!</definedName>
    <definedName name="CF17_Attr_OthBnk_60D_I_USD">#REF!</definedName>
    <definedName name="CF17_Attr_OthBnk_90D_Am_AMD">#REF!</definedName>
    <definedName name="CF17_Attr_OthBnk_90D_Am_EUR">#REF!</definedName>
    <definedName name="CF17_Attr_OthBnk_90D_Am_OthC">#REF!</definedName>
    <definedName name="CF17_Attr_OthBnk_90D_Am_RUR">#REF!</definedName>
    <definedName name="CF17_Attr_OthBnk_90D_Am_USD">#REF!</definedName>
    <definedName name="CF17_Attr_OthBnk_90D_I_AMD">#REF!</definedName>
    <definedName name="CF17_Attr_OthBnk_90D_I_EUR">#REF!</definedName>
    <definedName name="CF17_Attr_OthBnk_90D_I_OthC">#REF!</definedName>
    <definedName name="CF17_Attr_OthBnk_90D_I_RUR">#REF!</definedName>
    <definedName name="CF17_Attr_OthBnk_90D_I_USD">#REF!</definedName>
    <definedName name="CF17_Attr_OthBnk_Dem_Am_AMD">#REF!</definedName>
    <definedName name="CF17_Attr_OthBnk_Dem_Am_EUR">#REF!</definedName>
    <definedName name="CF17_Attr_OthBnk_Dem_Am_OthC">#REF!</definedName>
    <definedName name="CF17_Attr_OthBnk_Dem_Am_RUR">#REF!</definedName>
    <definedName name="CF17_Attr_OthBnk_Dem_Am_USD">#REF!</definedName>
    <definedName name="CF17_Attr_OthBnk_Dem_I_AMD">#REF!</definedName>
    <definedName name="CF17_Attr_OthBnk_Dem_I_EUR">#REF!</definedName>
    <definedName name="CF17_Attr_OthBnk_Dem_I_OthC">#REF!</definedName>
    <definedName name="CF17_Attr_OthBnk_Dem_I_RUR">#REF!</definedName>
    <definedName name="CF17_Attr_OthBnk_Dem_I_USD">#REF!</definedName>
    <definedName name="CF17_Attr_OthBnk_Mr360D_Am_AMD">#REF!</definedName>
    <definedName name="CF17_Attr_OthBnk_Mr360D_Am_EUR">#REF!</definedName>
    <definedName name="CF17_Attr_OthBnk_Mr360D_Am_Oth">#REF!</definedName>
    <definedName name="CF17_Attr_OthBnk_Mr360D_Am_RUR">#REF!</definedName>
    <definedName name="CF17_Attr_OthBnk_Mr360D_Am_USD">#REF!</definedName>
    <definedName name="CF17_Attr_OthBnk_Mr360D_I_AMD">#REF!</definedName>
    <definedName name="CF17_Attr_OthBnk_Mr360D_I_EUR">#REF!</definedName>
    <definedName name="CF17_Attr_OthBnk_Mr360D_I_OthC">#REF!</definedName>
    <definedName name="CF17_Attr_OthBnk_Mr360D_I_RUR">#REF!</definedName>
    <definedName name="CF17_Attr_OthBnk_Mr360D_I_USD">#REF!</definedName>
    <definedName name="CF17_Attr_RRepo_15D_Am_ABnk">#REF!</definedName>
    <definedName name="CF17_Attr_RRepo_15D_Am_Bus">#REF!</definedName>
    <definedName name="CF17_Attr_RRepo_15D_Am_Ind">#REF!</definedName>
    <definedName name="CF17_Attr_RRepo_15D_Am_OthBn">#REF!</definedName>
    <definedName name="CF17_Attr_RRepo_15D_I_ABnk">#REF!</definedName>
    <definedName name="CF17_Attr_RRepo_15D_I_Bus">#REF!</definedName>
    <definedName name="CF17_Attr_RRepo_15D_I_Ind">#REF!</definedName>
    <definedName name="CF17_Attr_RRepo_15D_I_OthBn">#REF!</definedName>
    <definedName name="CF17_Attr_RRepo_180D_Am_ABnk">#REF!</definedName>
    <definedName name="CF17_Attr_RRepo_180D_Am_Bus">#REF!</definedName>
    <definedName name="CF17_Attr_RRepo_180D_Am_Ind">#REF!</definedName>
    <definedName name="CF17_Attr_RRepo_180D_Am_OthBn">#REF!</definedName>
    <definedName name="CF17_Attr_RRepo_180D_I_ABnk">#REF!</definedName>
    <definedName name="CF17_Attr_RRepo_180D_I_Bus">#REF!</definedName>
    <definedName name="CF17_Attr_RRepo_180D_I_Ind">#REF!</definedName>
    <definedName name="CF17_Attr_RRepo_180D_I_OthBn">#REF!</definedName>
    <definedName name="CF17_Attr_RRepo_30D_Am_ABnk">#REF!</definedName>
    <definedName name="CF17_Attr_RRepo_30D_Am_Bus">#REF!</definedName>
    <definedName name="CF17_Attr_RRepo_30D_Am_Ind">#REF!</definedName>
    <definedName name="CF17_Attr_RRepo_30D_Am_OthBn">#REF!</definedName>
    <definedName name="CF17_Attr_RRepo_30D_I_ABnk">#REF!</definedName>
    <definedName name="CF17_Attr_RRepo_30D_I_Bus">#REF!</definedName>
    <definedName name="CF17_Attr_RRepo_30D_I_Ind">#REF!</definedName>
    <definedName name="CF17_Attr_RRepo_30D_I_OthBn">#REF!</definedName>
    <definedName name="CF17_Attr_RRepo_360D_Am_ABnk">#REF!</definedName>
    <definedName name="CF17_Attr_RRepo_360D_Am_Bus">#REF!</definedName>
    <definedName name="CF17_Attr_RRepo_360D_Am_Ind">#REF!</definedName>
    <definedName name="CF17_Attr_RRepo_360D_Am_OthBn">#REF!</definedName>
    <definedName name="CF17_Attr_RRepo_360D_I_ABnk">#REF!</definedName>
    <definedName name="CF17_Attr_RRepo_360D_I_Bus">#REF!</definedName>
    <definedName name="CF17_Attr_RRepo_360D_I_Ind">#REF!</definedName>
    <definedName name="CF17_Attr_RRepo_360D_I_OthBn">#REF!</definedName>
    <definedName name="CF17_Attr_RRepo_60D_Am_ABnk">#REF!</definedName>
    <definedName name="CF17_Attr_RRepo_60D_Am_Bus">#REF!</definedName>
    <definedName name="CF17_Attr_RRepo_60D_Am_Ind">#REF!</definedName>
    <definedName name="CF17_Attr_RRepo_60D_Am_OthBn">#REF!</definedName>
    <definedName name="CF17_Attr_RRepo_60D_I_ABnk">#REF!</definedName>
    <definedName name="CF17_Attr_RRepo_60D_I_Bus">#REF!</definedName>
    <definedName name="CF17_Attr_RRepo_60D_I_Ind">#REF!</definedName>
    <definedName name="CF17_Attr_RRepo_60D_I_OthBn">#REF!</definedName>
    <definedName name="CF17_Attr_RRepo_90D_Am_ABnk">#REF!</definedName>
    <definedName name="CF17_Attr_RRepo_90D_Am_Bus">#REF!</definedName>
    <definedName name="CF17_Attr_RRepo_90D_Am_Ind">#REF!</definedName>
    <definedName name="CF17_Attr_RRepo_90D_Am_OthBn">#REF!</definedName>
    <definedName name="CF17_Attr_RRepo_90D_I_ABnk">#REF!</definedName>
    <definedName name="CF17_Attr_RRepo_90D_I_Bus">#REF!</definedName>
    <definedName name="CF17_Attr_RRepo_90D_I_Ind">#REF!</definedName>
    <definedName name="CF17_Attr_RRepo_90D_I_OthBn">#REF!</definedName>
    <definedName name="CF17_Attr_RRepo_Dem_Am_ABnk">#REF!</definedName>
    <definedName name="CF17_Attr_RRepo_Dem_Am_Bus">#REF!</definedName>
    <definedName name="CF17_Attr_RRepo_Dem_Am_Ind">#REF!</definedName>
    <definedName name="CF17_Attr_RRepo_Dem_Am_OthBn">#REF!</definedName>
    <definedName name="CF17_Attr_RRepo_Dem_I_ABnk">#REF!</definedName>
    <definedName name="CF17_Attr_RRepo_Dem_I_Bus">#REF!</definedName>
    <definedName name="CF17_Attr_RRepo_Dem_I_Ind">#REF!</definedName>
    <definedName name="CF17_Attr_RRepo_Dem_I_OthBn">#REF!</definedName>
    <definedName name="CF17_Attr_RRepo_Mr360D_Am_ABnk">#REF!</definedName>
    <definedName name="CF17_Attr_RRepo_Mr360D_Am_Bus">#REF!</definedName>
    <definedName name="CF17_Attr_RRepo_Mr360D_Am_Ind">#REF!</definedName>
    <definedName name="CF17_Attr_RRepo_Mr360D_Am_OthB">#REF!</definedName>
    <definedName name="CF17_Attr_RRepo_Mr360D_I_ABnk">#REF!</definedName>
    <definedName name="CF17_Attr_RRepo_Mr360D_I_Bus">#REF!</definedName>
    <definedName name="CF17_Attr_RRepo_Mr360D_I_Ind">#REF!</definedName>
    <definedName name="CF17_Attr_RRepo_Mr360D_I_OthBn">#REF!</definedName>
    <definedName name="CF17_Attr_RRepoF_Mr360D_Am">#REF!</definedName>
    <definedName name="CF17_Attr_RRepoFX_15D_Am">#REF!</definedName>
    <definedName name="CF17_Attr_RRepoFX_15D_I">#REF!</definedName>
    <definedName name="CF17_Attr_RRepoFX_180D_Am">#REF!</definedName>
    <definedName name="CF17_Attr_RRepoFX_180D_I">#REF!</definedName>
    <definedName name="CF17_Attr_RRepoFX_30D_Am">#REF!</definedName>
    <definedName name="CF17_Attr_RRepoFX_30D_I">#REF!</definedName>
    <definedName name="CF17_Attr_RRepoFX_360D_Am">#REF!</definedName>
    <definedName name="CF17_Attr_RRepoFX_360D_I">#REF!</definedName>
    <definedName name="CF17_Attr_RRepoFX_60D_Am">#REF!</definedName>
    <definedName name="CF17_Attr_RRepoFX_60D_I">#REF!</definedName>
    <definedName name="CF17_Attr_RRepoFX_90D_Am">#REF!</definedName>
    <definedName name="CF17_Attr_RRepoFX_90D_I">#REF!</definedName>
    <definedName name="CF17_Attr_RRepoFX_Dem_Am">#REF!</definedName>
    <definedName name="CF17_Attr_RRepoFX_Dem_I">#REF!</definedName>
    <definedName name="CF17_Attr_RRepoFX_Mr360D_I">#REF!</definedName>
    <definedName name="CF17_Tot_15D_Am_AMD">#REF!</definedName>
    <definedName name="CF17_Tot_15D_Am_EUR">#REF!</definedName>
    <definedName name="CF17_Tot_15D_Am_OthC">#REF!</definedName>
    <definedName name="CF17_Tot_15D_Am_RUR">#REF!</definedName>
    <definedName name="CF17_Tot_15D_Am_USD">#REF!</definedName>
    <definedName name="CF17_Tot_15D_I_AMD">#REF!</definedName>
    <definedName name="CF17_Tot_15D_I_EUR">#REF!</definedName>
    <definedName name="CF17_Tot_15D_I_OthC">#REF!</definedName>
    <definedName name="CF17_Tot_15D_I_RUR">#REF!</definedName>
    <definedName name="CF17_Tot_15D_I_USD">#REF!</definedName>
    <definedName name="CF17_Tot_180D_Am_AMD">#REF!</definedName>
    <definedName name="CF17_Tot_180D_Am_EUR">#REF!</definedName>
    <definedName name="CF17_Tot_180D_Am_OthC">#REF!</definedName>
    <definedName name="CF17_Tot_180D_Am_RUR">#REF!</definedName>
    <definedName name="CF17_Tot_180D_Am_USD">#REF!</definedName>
    <definedName name="CF17_Tot_180D_I_AMD">#REF!</definedName>
    <definedName name="CF17_Tot_180D_I_EUR">#REF!</definedName>
    <definedName name="CF17_Tot_180D_I_OthC">#REF!</definedName>
    <definedName name="CF17_Tot_180D_I_RUR">#REF!</definedName>
    <definedName name="CF17_Tot_180D_I_USD">#REF!</definedName>
    <definedName name="CF17_Tot_30D_Am_AMD">#REF!</definedName>
    <definedName name="CF17_Tot_30D_Am_EUR">#REF!</definedName>
    <definedName name="CF17_Tot_30D_Am_OthC">#REF!</definedName>
    <definedName name="CF17_Tot_30D_Am_RUR">#REF!</definedName>
    <definedName name="CF17_Tot_30D_Am_USD">#REF!</definedName>
    <definedName name="CF17_Tot_30D_I_AMD">#REF!</definedName>
    <definedName name="CF17_Tot_30D_I_EUR">#REF!</definedName>
    <definedName name="CF17_Tot_30D_I_OthC">#REF!</definedName>
    <definedName name="CF17_Tot_30D_I_RUR">#REF!</definedName>
    <definedName name="CF17_Tot_30D_I_USD">#REF!</definedName>
    <definedName name="CF17_Tot_360D_Am_AMD">#REF!</definedName>
    <definedName name="CF17_Tot_360D_Am_EUR">#REF!</definedName>
    <definedName name="CF17_Tot_360D_Am_OthC">#REF!</definedName>
    <definedName name="CF17_Tot_360D_Am_RUR">#REF!</definedName>
    <definedName name="CF17_Tot_360D_Am_USD">#REF!</definedName>
    <definedName name="CF17_Tot_360D_I_AMD">#REF!</definedName>
    <definedName name="CF17_Tot_360D_I_EUR">#REF!</definedName>
    <definedName name="CF17_Tot_360D_I_OthC">#REF!</definedName>
    <definedName name="CF17_Tot_360D_I_RUR">#REF!</definedName>
    <definedName name="CF17_Tot_360D_I_USD">#REF!</definedName>
    <definedName name="CF17_Tot_60D_Am_AMD">#REF!</definedName>
    <definedName name="CF17_Tot_60D_Am_EUR">#REF!</definedName>
    <definedName name="CF17_Tot_60D_Am_OthC">#REF!</definedName>
    <definedName name="CF17_Tot_60D_Am_RUR">#REF!</definedName>
    <definedName name="CF17_Tot_60D_Am_USD">#REF!</definedName>
    <definedName name="CF17_Tot_60D_I_AMD">#REF!</definedName>
    <definedName name="CF17_Tot_60D_I_EUR">#REF!</definedName>
    <definedName name="CF17_Tot_60D_I_OthC">#REF!</definedName>
    <definedName name="CF17_Tot_60D_I_RUR">#REF!</definedName>
    <definedName name="CF17_Tot_60D_I_USD">#REF!</definedName>
    <definedName name="CF17_Tot_90D_Am_AMD">#REF!</definedName>
    <definedName name="CF17_Tot_90D_Am_EUR">#REF!</definedName>
    <definedName name="CF17_Tot_90D_Am_OthC">#REF!</definedName>
    <definedName name="CF17_Tot_90D_Am_RUR">#REF!</definedName>
    <definedName name="CF17_Tot_90D_Am_USD">#REF!</definedName>
    <definedName name="CF17_Tot_90D_I_AMD">#REF!</definedName>
    <definedName name="CF17_Tot_90D_I_EUR">#REF!</definedName>
    <definedName name="CF17_Tot_90D_I_OthC">#REF!</definedName>
    <definedName name="CF17_Tot_90D_I_RUR">#REF!</definedName>
    <definedName name="CF17_Tot_90D_I_USD">#REF!</definedName>
    <definedName name="CF17_Tot_Dem_Am_AMD">#REF!</definedName>
    <definedName name="CF17_Tot_Dem_Am_EUR">#REF!</definedName>
    <definedName name="CF17_Tot_Dem_Am_OthC">#REF!</definedName>
    <definedName name="CF17_Tot_Dem_Am_RUR">#REF!</definedName>
    <definedName name="CF17_Tot_Dem_Am_USD">#REF!</definedName>
    <definedName name="CF17_Tot_Dem_I_AMD">#REF!</definedName>
    <definedName name="CF17_Tot_Dem_I_EUR">#REF!</definedName>
    <definedName name="CF17_Tot_Dem_I_OthC">#REF!</definedName>
    <definedName name="CF17_Tot_Dem_I_RUR">#REF!</definedName>
    <definedName name="CF17_Tot_Dem_I_USD">#REF!</definedName>
    <definedName name="CF17_Tot_Mr360D_Am_AMD">#REF!</definedName>
    <definedName name="CF17_Tot_Mr360D_Am_EUR">#REF!</definedName>
    <definedName name="CF17_Tot_Mr360D_Am_OthC">#REF!</definedName>
    <definedName name="CF17_Tot_Mr360D_Am_RUR">#REF!</definedName>
    <definedName name="CF17_Tot_Mr360D_Am_USD">#REF!</definedName>
    <definedName name="CF17_Tot_Mr360D_I_AMD">#REF!</definedName>
    <definedName name="CF17_Tot_Mr360D_I_EUR">#REF!</definedName>
    <definedName name="CF17_Tot_Mr360D_I_OthC">#REF!</definedName>
    <definedName name="CF17_Tot_Mr360D_I_RUR">#REF!</definedName>
    <definedName name="CF17_Tot_Mr360D_I_USD">#REF!</definedName>
    <definedName name="CIQWBGuid" hidden="1">"2cd8126d-26c3-430c-b7fa-a069e3a1fc62"</definedName>
    <definedName name="d" localSheetId="5">#REF!</definedName>
    <definedName name="d" localSheetId="4">#REF!</definedName>
    <definedName name="d" localSheetId="2">#REF!</definedName>
    <definedName name="d" localSheetId="3">#REF!</definedName>
    <definedName name="d">#REF!</definedName>
    <definedName name="Date1" localSheetId="2">#REF!</definedName>
    <definedName name="Date1">#REF!</definedName>
    <definedName name="Date2" localSheetId="2">#REF!</definedName>
    <definedName name="Date2">#REF!</definedName>
    <definedName name="dddd">#REF!</definedName>
    <definedName name="DF17_Alloc_ABnk_15D_Am_AMD">#REF!</definedName>
    <definedName name="DF17_Alloc_ABnk_15D_Am_EUR">#REF!</definedName>
    <definedName name="DF17_Alloc_ABnk_15D_Am_OthC">#REF!</definedName>
    <definedName name="DF17_Alloc_ABnk_15D_Am_RUR">#REF!</definedName>
    <definedName name="DF17_Alloc_ABnk_15D_Am_USD">#REF!</definedName>
    <definedName name="DF17_Alloc_ABnk_15D_I_AMD">#REF!</definedName>
    <definedName name="DF17_Alloc_ABnk_15D_I_EUR">#REF!</definedName>
    <definedName name="DF17_Alloc_ABnk_15D_I_OthC">#REF!</definedName>
    <definedName name="DF17_Alloc_ABnk_15D_I_RUR">#REF!</definedName>
    <definedName name="DF17_Alloc_ABnk_15D_I_USD">#REF!</definedName>
    <definedName name="DF17_Alloc_ABnk_180D_Am_AMD">#REF!</definedName>
    <definedName name="DF17_Alloc_ABnk_180D_Am_EUR">#REF!</definedName>
    <definedName name="DF17_Alloc_ABnk_180D_Am_OthC">#REF!</definedName>
    <definedName name="DF17_Alloc_ABnk_180D_Am_RUR">#REF!</definedName>
    <definedName name="DF17_Alloc_ABnk_180D_Am_USD">#REF!</definedName>
    <definedName name="DF17_Alloc_ABnk_180D_I_AMD">#REF!</definedName>
    <definedName name="DF17_Alloc_ABnk_180D_I_EUR">#REF!</definedName>
    <definedName name="DF17_Alloc_ABnk_180D_I_OthC">#REF!</definedName>
    <definedName name="DF17_Alloc_ABnk_180D_I_RUR">#REF!</definedName>
    <definedName name="DF17_Alloc_ABnk_180D_I_USD">#REF!</definedName>
    <definedName name="DF17_Alloc_ABnk_30D_Am_AMD">#REF!</definedName>
    <definedName name="DF17_Alloc_ABnk_30D_Am_EUR">#REF!</definedName>
    <definedName name="DF17_Alloc_ABnk_30D_Am_OthC">#REF!</definedName>
    <definedName name="DF17_Alloc_ABnk_30D_Am_RUR">#REF!</definedName>
    <definedName name="DF17_Alloc_ABnk_30D_Am_USD">#REF!</definedName>
    <definedName name="DF17_Alloc_ABnk_30D_I_AMD">#REF!</definedName>
    <definedName name="DF17_Alloc_ABnk_30D_I_EUR">#REF!</definedName>
    <definedName name="DF17_Alloc_ABnk_30D_I_OthC">#REF!</definedName>
    <definedName name="DF17_Alloc_ABnk_30D_I_RUR">#REF!</definedName>
    <definedName name="DF17_Alloc_ABnk_30D_I_USD">#REF!</definedName>
    <definedName name="DF17_Alloc_ABnk_360D_Am_AMD">#REF!</definedName>
    <definedName name="DF17_Alloc_ABnk_360D_Am_EUR">#REF!</definedName>
    <definedName name="DF17_Alloc_ABnk_360D_Am_OthC">#REF!</definedName>
    <definedName name="DF17_Alloc_ABnk_360D_Am_RUR">#REF!</definedName>
    <definedName name="DF17_Alloc_ABnk_360D_Am_USD">#REF!</definedName>
    <definedName name="DF17_Alloc_ABnk_360D_I_AMD">#REF!</definedName>
    <definedName name="DF17_Alloc_ABnk_360D_I_EUR">#REF!</definedName>
    <definedName name="DF17_Alloc_ABnk_360D_I_OthC">#REF!</definedName>
    <definedName name="DF17_Alloc_ABnk_360D_I_RUR">#REF!</definedName>
    <definedName name="DF17_Alloc_ABnk_360D_I_USD">#REF!</definedName>
    <definedName name="DF17_Alloc_ABnk_60D_Am_AMD">#REF!</definedName>
    <definedName name="DF17_Alloc_ABnk_60D_Am_EUR">#REF!</definedName>
    <definedName name="DF17_Alloc_ABnk_60D_Am_OthC">#REF!</definedName>
    <definedName name="DF17_Alloc_ABnk_60D_Am_RUR">#REF!</definedName>
    <definedName name="DF17_Alloc_ABnk_60D_Am_USD">#REF!</definedName>
    <definedName name="DF17_Alloc_ABnk_60D_I_AMD">#REF!</definedName>
    <definedName name="DF17_Alloc_ABnk_60D_I_EUR">#REF!</definedName>
    <definedName name="DF17_Alloc_ABnk_60D_I_OthC">#REF!</definedName>
    <definedName name="DF17_Alloc_ABnk_60D_I_RUR">#REF!</definedName>
    <definedName name="DF17_Alloc_ABnk_60D_I_USD">#REF!</definedName>
    <definedName name="DF17_Alloc_ABnk_90D_Am_AMD">#REF!</definedName>
    <definedName name="DF17_Alloc_ABnk_90D_Am_EUR">#REF!</definedName>
    <definedName name="DF17_Alloc_ABnk_90D_Am_OthC">#REF!</definedName>
    <definedName name="DF17_Alloc_ABnk_90D_Am_RUR">#REF!</definedName>
    <definedName name="DF17_Alloc_ABnk_90D_Am_USD">#REF!</definedName>
    <definedName name="DF17_Alloc_ABnk_90D_I_AMD">#REF!</definedName>
    <definedName name="DF17_Alloc_ABnk_90D_I_EUR">#REF!</definedName>
    <definedName name="DF17_Alloc_ABnk_90D_I_OthC">#REF!</definedName>
    <definedName name="DF17_Alloc_ABnk_90D_I_RUR">#REF!</definedName>
    <definedName name="DF17_Alloc_ABnk_90D_I_USD">#REF!</definedName>
    <definedName name="DF17_Alloc_ABnk_Dem_Am_AMD">#REF!</definedName>
    <definedName name="DF17_Alloc_ABnk_Dem_Am_EUR">#REF!</definedName>
    <definedName name="DF17_Alloc_ABnk_Dem_Am_OthC">#REF!</definedName>
    <definedName name="DF17_Alloc_ABnk_Dem_Am_RUR">#REF!</definedName>
    <definedName name="DF17_Alloc_ABnk_Dem_Am_USD">#REF!</definedName>
    <definedName name="DF17_Alloc_ABnk_Dem_I_AMD">#REF!</definedName>
    <definedName name="DF17_Alloc_ABnk_Dem_I_EUR">#REF!</definedName>
    <definedName name="DF17_Alloc_ABnk_Dem_I_OthC">#REF!</definedName>
    <definedName name="DF17_Alloc_ABnk_Dem_I_RUR">#REF!</definedName>
    <definedName name="DF17_Alloc_ABnk_Dem_I_USD">#REF!</definedName>
    <definedName name="DF17_Alloc_ABnk_Mr360D_Am_AMD">#REF!</definedName>
    <definedName name="DF17_Alloc_ABnk_Mr360D_Am_EUR">#REF!</definedName>
    <definedName name="DF17_Alloc_ABnk_Mr360D_Am_OthC">#REF!</definedName>
    <definedName name="DF17_Alloc_ABnk_Mr360D_Am_RUR">#REF!</definedName>
    <definedName name="DF17_Alloc_ABnk_Mr360D_Am_USD">#REF!</definedName>
    <definedName name="DF17_Alloc_ABnk_Mr360D_I_AMD">#REF!</definedName>
    <definedName name="DF17_Alloc_ABnk_Mr360D_I_EUR">#REF!</definedName>
    <definedName name="DF17_Alloc_ABnk_Mr360D_I_OthC">#REF!</definedName>
    <definedName name="DF17_Alloc_ABnk_Mr360D_I_RUR">#REF!</definedName>
    <definedName name="DF17_Alloc_ABnk_Mr360D_I_USD">#REF!</definedName>
    <definedName name="DF17_Alloc_Bus_15D_Am_AMD">#REF!</definedName>
    <definedName name="DF17_Alloc_Bus_15D_Am_EUR">#REF!</definedName>
    <definedName name="DF17_Alloc_Bus_15D_Am_OthC">#REF!</definedName>
    <definedName name="DF17_Alloc_Bus_15D_Am_RUR">#REF!</definedName>
    <definedName name="DF17_Alloc_Bus_15D_Am_USD">#REF!</definedName>
    <definedName name="DF17_Alloc_Bus_15D_I_AMD">#REF!</definedName>
    <definedName name="DF17_Alloc_Bus_15D_I_EUR">#REF!</definedName>
    <definedName name="DF17_Alloc_Bus_15D_I_OthC">#REF!</definedName>
    <definedName name="DF17_Alloc_Bus_15D_I_RUR">#REF!</definedName>
    <definedName name="DF17_Alloc_Bus_15D_I_USD">#REF!</definedName>
    <definedName name="DF17_Alloc_Bus_180D_Am_AMD">#REF!</definedName>
    <definedName name="DF17_Alloc_Bus_180D_Am_EUR">#REF!</definedName>
    <definedName name="DF17_Alloc_Bus_180D_Am_OthC">#REF!</definedName>
    <definedName name="DF17_Alloc_Bus_180D_Am_RUR">#REF!</definedName>
    <definedName name="DF17_Alloc_Bus_180D_Am_USD">#REF!</definedName>
    <definedName name="DF17_Alloc_Bus_180D_I_AMD">#REF!</definedName>
    <definedName name="DF17_Alloc_Bus_180D_I_EUR">#REF!</definedName>
    <definedName name="DF17_Alloc_Bus_180D_I_OthC">#REF!</definedName>
    <definedName name="DF17_Alloc_Bus_180D_I_RUR">#REF!</definedName>
    <definedName name="DF17_Alloc_Bus_180D_I_USD">#REF!</definedName>
    <definedName name="DF17_Alloc_Bus_30D_Am_AMD">#REF!</definedName>
    <definedName name="DF17_Alloc_Bus_30D_Am_EUR">#REF!</definedName>
    <definedName name="DF17_Alloc_Bus_30D_Am_OthC">#REF!</definedName>
    <definedName name="DF17_Alloc_Bus_30D_Am_RUR">#REF!</definedName>
    <definedName name="DF17_Alloc_Bus_30D_Am_USD">#REF!</definedName>
    <definedName name="DF17_Alloc_Bus_30D_I_AMD">#REF!</definedName>
    <definedName name="DF17_Alloc_Bus_30D_I_EUR">#REF!</definedName>
    <definedName name="DF17_Alloc_Bus_30D_I_OthC">#REF!</definedName>
    <definedName name="DF17_Alloc_Bus_30D_I_RUR">#REF!</definedName>
    <definedName name="DF17_Alloc_Bus_30D_I_USD">#REF!</definedName>
    <definedName name="DF17_Alloc_Bus_360D_Am_AMD">#REF!</definedName>
    <definedName name="DF17_Alloc_Bus_360D_Am_EUR">#REF!</definedName>
    <definedName name="DF17_Alloc_Bus_360D_Am_OthC">#REF!</definedName>
    <definedName name="DF17_Alloc_Bus_360D_Am_RUR">#REF!</definedName>
    <definedName name="DF17_Alloc_Bus_360D_Am_USD">#REF!</definedName>
    <definedName name="DF17_Alloc_Bus_360D_I_AMD">#REF!</definedName>
    <definedName name="DF17_Alloc_Bus_360D_I_EUR">#REF!</definedName>
    <definedName name="DF17_Alloc_Bus_360D_I_OthC">#REF!</definedName>
    <definedName name="DF17_Alloc_Bus_360D_I_RUR">#REF!</definedName>
    <definedName name="DF17_Alloc_Bus_360D_I_USD">#REF!</definedName>
    <definedName name="DF17_Alloc_Bus_60D_Am_AMD">#REF!</definedName>
    <definedName name="DF17_Alloc_Bus_60D_Am_EUR">#REF!</definedName>
    <definedName name="DF17_Alloc_Bus_60D_Am_OthC">#REF!</definedName>
    <definedName name="DF17_Alloc_Bus_60D_Am_RUR">#REF!</definedName>
    <definedName name="DF17_Alloc_Bus_60D_Am_USD">#REF!</definedName>
    <definedName name="DF17_Alloc_Bus_60D_I_AMD">#REF!</definedName>
    <definedName name="DF17_Alloc_Bus_60D_I_EUR">#REF!</definedName>
    <definedName name="DF17_Alloc_Bus_60D_I_OthC">#REF!</definedName>
    <definedName name="DF17_Alloc_Bus_60D_I_RUR">#REF!</definedName>
    <definedName name="DF17_Alloc_Bus_60D_I_USD">#REF!</definedName>
    <definedName name="DF17_Alloc_Bus_90D_Am_AMD">#REF!</definedName>
    <definedName name="DF17_Alloc_Bus_90D_Am_EUR">#REF!</definedName>
    <definedName name="DF17_Alloc_Bus_90D_Am_OthC">#REF!</definedName>
    <definedName name="DF17_Alloc_Bus_90D_Am_RUR">#REF!</definedName>
    <definedName name="DF17_Alloc_Bus_90D_Am_USD">#REF!</definedName>
    <definedName name="DF17_Alloc_Bus_90D_I_AMD">#REF!</definedName>
    <definedName name="DF17_Alloc_Bus_90D_I_EUR">#REF!</definedName>
    <definedName name="DF17_Alloc_Bus_90D_I_OthC">#REF!</definedName>
    <definedName name="DF17_Alloc_Bus_90D_I_RUR">#REF!</definedName>
    <definedName name="DF17_Alloc_Bus_90D_I_USD">#REF!</definedName>
    <definedName name="DF17_Alloc_Bus_Dem_Am_AMD">#REF!</definedName>
    <definedName name="DF17_Alloc_Bus_Dem_Am_EUR">#REF!</definedName>
    <definedName name="DF17_Alloc_Bus_Dem_Am_OthC">#REF!</definedName>
    <definedName name="DF17_Alloc_Bus_Dem_Am_RUR">#REF!</definedName>
    <definedName name="DF17_Alloc_Bus_Dem_Am_USD">#REF!</definedName>
    <definedName name="DF17_Alloc_Bus_Dem_I_AMD">#REF!</definedName>
    <definedName name="DF17_Alloc_Bus_Dem_I_EUR">#REF!</definedName>
    <definedName name="DF17_Alloc_Bus_Dem_I_OthC">#REF!</definedName>
    <definedName name="DF17_Alloc_Bus_Dem_I_RUR">#REF!</definedName>
    <definedName name="DF17_Alloc_Bus_Dem_I_USD">#REF!</definedName>
    <definedName name="DF17_Alloc_Bus_Mr360D_Am_AMD">#REF!</definedName>
    <definedName name="DF17_Alloc_Bus_Mr360D_Am_EUR">#REF!</definedName>
    <definedName name="DF17_Alloc_Bus_Mr360D_Am_OthC">#REF!</definedName>
    <definedName name="DF17_Alloc_Bus_Mr360D_Am_RUR">#REF!</definedName>
    <definedName name="DF17_Alloc_Bus_Mr360D_Am_USD">#REF!</definedName>
    <definedName name="DF17_Alloc_Bus_Mr360D_I_AMD">#REF!</definedName>
    <definedName name="DF17_Alloc_Bus_Mr360D_I_EUR">#REF!</definedName>
    <definedName name="DF17_Alloc_Bus_Mr360D_I_OthC">#REF!</definedName>
    <definedName name="DF17_Alloc_Bus_Mr360D_I_RUR">#REF!</definedName>
    <definedName name="DF17_Alloc_Bus_Mr360D_I_USD">#REF!</definedName>
    <definedName name="DF17_Alloc_GovG_15D_Am_AMD">#REF!</definedName>
    <definedName name="DF17_Alloc_GovG_15D_Am_EUR">#REF!</definedName>
    <definedName name="DF17_Alloc_GovG_15D_Am_OthC">#REF!</definedName>
    <definedName name="DF17_Alloc_GovG_15D_Am_RUR">#REF!</definedName>
    <definedName name="DF17_Alloc_GovG_15D_Am_USD">#REF!</definedName>
    <definedName name="DF17_Alloc_GovG_15D_I_AMD">#REF!</definedName>
    <definedName name="DF17_Alloc_GovG_15D_I_EUR">#REF!</definedName>
    <definedName name="DF17_Alloc_GovG_15D_I_OthC">#REF!</definedName>
    <definedName name="DF17_Alloc_GovG_15D_I_RUR">#REF!</definedName>
    <definedName name="DF17_Alloc_GovG_15D_I_USD">#REF!</definedName>
    <definedName name="DF17_Alloc_GovG_180D_Am_AMD">#REF!</definedName>
    <definedName name="DF17_Alloc_GovG_180D_Am_EUR">#REF!</definedName>
    <definedName name="DF17_Alloc_GovG_180D_Am_OthC">#REF!</definedName>
    <definedName name="DF17_Alloc_GovG_180D_Am_RUR">#REF!</definedName>
    <definedName name="DF17_Alloc_GovG_180D_Am_USD">#REF!</definedName>
    <definedName name="DF17_Alloc_GovG_180D_I_AMD">#REF!</definedName>
    <definedName name="DF17_Alloc_GovG_180D_I_EUR">#REF!</definedName>
    <definedName name="DF17_Alloc_GovG_180D_I_OthC">#REF!</definedName>
    <definedName name="DF17_Alloc_GovG_180D_I_RUR">#REF!</definedName>
    <definedName name="DF17_Alloc_GovG_180D_I_USD">#REF!</definedName>
    <definedName name="DF17_Alloc_GovG_30D_Am_AMD">#REF!</definedName>
    <definedName name="DF17_Alloc_GovG_30D_Am_EUR">#REF!</definedName>
    <definedName name="DF17_Alloc_GovG_30D_Am_OthC">#REF!</definedName>
    <definedName name="DF17_Alloc_GovG_30D_Am_RUR">#REF!</definedName>
    <definedName name="DF17_Alloc_GovG_30D_Am_USD">#REF!</definedName>
    <definedName name="DF17_Alloc_GovG_30D_I_AMD">#REF!</definedName>
    <definedName name="DF17_Alloc_GovG_30D_I_EUR">#REF!</definedName>
    <definedName name="DF17_Alloc_GovG_30D_I_OthC">#REF!</definedName>
    <definedName name="DF17_Alloc_GovG_30D_I_RUR">#REF!</definedName>
    <definedName name="DF17_Alloc_GovG_30D_I_USD">#REF!</definedName>
    <definedName name="DF17_Alloc_GovG_360D_Am_AMD">#REF!</definedName>
    <definedName name="DF17_Alloc_GovG_360D_Am_EUR">#REF!</definedName>
    <definedName name="DF17_Alloc_GovG_360D_Am_OthC">#REF!</definedName>
    <definedName name="DF17_Alloc_GovG_360D_Am_RUR">#REF!</definedName>
    <definedName name="DF17_Alloc_GovG_360D_Am_USD">#REF!</definedName>
    <definedName name="DF17_Alloc_GovG_360D_I_AMD">#REF!</definedName>
    <definedName name="DF17_Alloc_GovG_360D_I_EUR">#REF!</definedName>
    <definedName name="DF17_Alloc_GovG_360D_I_OthC">#REF!</definedName>
    <definedName name="DF17_Alloc_GovG_360D_I_RUR">#REF!</definedName>
    <definedName name="DF17_Alloc_GovG_360D_I_USD">#REF!</definedName>
    <definedName name="DF17_Alloc_GovG_60D_Am_AMD">#REF!</definedName>
    <definedName name="DF17_Alloc_GovG_60D_Am_EUR">#REF!</definedName>
    <definedName name="DF17_Alloc_GovG_60D_Am_OthC">#REF!</definedName>
    <definedName name="DF17_Alloc_GovG_60D_Am_RUR">#REF!</definedName>
    <definedName name="DF17_Alloc_GovG_60D_Am_USD">#REF!</definedName>
    <definedName name="DF17_Alloc_GovG_60D_I_AMD">#REF!</definedName>
    <definedName name="DF17_Alloc_GovG_60D_I_EUR">#REF!</definedName>
    <definedName name="DF17_Alloc_GovG_60D_I_OthC">#REF!</definedName>
    <definedName name="DF17_Alloc_GovG_60D_I_RUR">#REF!</definedName>
    <definedName name="DF17_Alloc_GovG_60D_I_USD">#REF!</definedName>
    <definedName name="DF17_Alloc_GovG_90D_Am_AMD">#REF!</definedName>
    <definedName name="DF17_Alloc_GovG_90D_Am_EUR">#REF!</definedName>
    <definedName name="DF17_Alloc_GovG_90D_Am_OthC">#REF!</definedName>
    <definedName name="DF17_Alloc_GovG_90D_Am_RUR">#REF!</definedName>
    <definedName name="DF17_Alloc_GovG_90D_Am_USD">#REF!</definedName>
    <definedName name="DF17_Alloc_GovG_90D_I_AMD">#REF!</definedName>
    <definedName name="DF17_Alloc_GovG_90D_I_EUR">#REF!</definedName>
    <definedName name="DF17_Alloc_GovG_90D_I_OthC">#REF!</definedName>
    <definedName name="DF17_Alloc_GovG_90D_I_RUR">#REF!</definedName>
    <definedName name="DF17_Alloc_GovG_90D_I_USD">#REF!</definedName>
    <definedName name="DF17_Alloc_GovG_Dem_Am_AMD">#REF!</definedName>
    <definedName name="DF17_Alloc_GovG_Dem_Am_EUR">#REF!</definedName>
    <definedName name="DF17_Alloc_GovG_Dem_Am_OthC">#REF!</definedName>
    <definedName name="DF17_Alloc_GovG_Dem_Am_RUR">#REF!</definedName>
    <definedName name="DF17_Alloc_GovG_Dem_Am_USD">#REF!</definedName>
    <definedName name="DF17_Alloc_GovG_Dem_I_AMD">#REF!</definedName>
    <definedName name="DF17_Alloc_GovG_Dem_I_EUR">#REF!</definedName>
    <definedName name="DF17_Alloc_GovG_Dem_I_OthC">#REF!</definedName>
    <definedName name="DF17_Alloc_GovG_Dem_I_RUR">#REF!</definedName>
    <definedName name="DF17_Alloc_GovG_Dem_I_USD">#REF!</definedName>
    <definedName name="DF17_Alloc_GovG_Mr360D_Am_AMD">#REF!</definedName>
    <definedName name="DF17_Alloc_GovG_Mr360D_Am_EUR">#REF!</definedName>
    <definedName name="DF17_Alloc_GovG_Mr360D_Am_OthC">#REF!</definedName>
    <definedName name="DF17_Alloc_GovG_Mr360D_Am_RUR">#REF!</definedName>
    <definedName name="DF17_Alloc_GovG_Mr360D_Am_USD">#REF!</definedName>
    <definedName name="DF17_Alloc_GovG_Mr360D_I_AMD">#REF!</definedName>
    <definedName name="DF17_Alloc_GovG_Mr360D_I_EUR">#REF!</definedName>
    <definedName name="DF17_Alloc_GovG_Mr360D_I_OthC">#REF!</definedName>
    <definedName name="DF17_Alloc_GovG_Mr360D_I_RUR">#REF!</definedName>
    <definedName name="DF17_Alloc_GovG_Mr360D_I_USD">#REF!</definedName>
    <definedName name="DF17_Alloc_Ind_15D_Am_AMD">#REF!</definedName>
    <definedName name="DF17_Alloc_Ind_15D_Am_EUR">#REF!</definedName>
    <definedName name="DF17_Alloc_Ind_15D_Am_OthC">#REF!</definedName>
    <definedName name="DF17_Alloc_Ind_15D_Am_RUR">#REF!</definedName>
    <definedName name="DF17_Alloc_Ind_15D_Am_USD">#REF!</definedName>
    <definedName name="DF17_Alloc_Ind_15D_I_AMD">#REF!</definedName>
    <definedName name="DF17_Alloc_Ind_15D_I_EUR">#REF!</definedName>
    <definedName name="DF17_Alloc_Ind_15D_I_OthC">#REF!</definedName>
    <definedName name="DF17_Alloc_Ind_15D_I_RUR">#REF!</definedName>
    <definedName name="DF17_Alloc_Ind_15D_I_USD">#REF!</definedName>
    <definedName name="DF17_Alloc_Ind_180D_Am_AMD">#REF!</definedName>
    <definedName name="DF17_Alloc_Ind_180D_Am_EUR">#REF!</definedName>
    <definedName name="DF17_Alloc_Ind_180D_Am_OthC">#REF!</definedName>
    <definedName name="DF17_Alloc_Ind_180D_Am_RUR">#REF!</definedName>
    <definedName name="DF17_Alloc_Ind_180D_Am_USD">#REF!</definedName>
    <definedName name="DF17_Alloc_Ind_180D_I_AMD">#REF!</definedName>
    <definedName name="DF17_Alloc_Ind_180D_I_EUR">#REF!</definedName>
    <definedName name="DF17_Alloc_Ind_180D_I_OthC">#REF!</definedName>
    <definedName name="DF17_Alloc_Ind_180D_I_RUR">#REF!</definedName>
    <definedName name="DF17_Alloc_Ind_180D_I_USD">#REF!</definedName>
    <definedName name="DF17_Alloc_Ind_30D_Am_AMD">#REF!</definedName>
    <definedName name="DF17_Alloc_Ind_30D_Am_EUR">#REF!</definedName>
    <definedName name="DF17_Alloc_Ind_30D_Am_OthC">#REF!</definedName>
    <definedName name="DF17_Alloc_Ind_30D_Am_RUR">#REF!</definedName>
    <definedName name="DF17_Alloc_Ind_30D_Am_USD">#REF!</definedName>
    <definedName name="DF17_Alloc_Ind_30D_I_AMD">#REF!</definedName>
    <definedName name="DF17_Alloc_Ind_30D_I_EUR">#REF!</definedName>
    <definedName name="DF17_Alloc_Ind_30D_I_OthC">#REF!</definedName>
    <definedName name="DF17_Alloc_Ind_30D_I_RUR">#REF!</definedName>
    <definedName name="DF17_Alloc_Ind_30D_I_USD">#REF!</definedName>
    <definedName name="DF17_Alloc_Ind_360D_Am_AMD">#REF!</definedName>
    <definedName name="DF17_Alloc_Ind_360D_Am_EUR">#REF!</definedName>
    <definedName name="DF17_Alloc_Ind_360D_Am_OthC">#REF!</definedName>
    <definedName name="DF17_Alloc_Ind_360D_Am_RUR">#REF!</definedName>
    <definedName name="DF17_Alloc_Ind_360D_Am_USD">#REF!</definedName>
    <definedName name="DF17_Alloc_Ind_360D_I_AMD">#REF!</definedName>
    <definedName name="DF17_Alloc_Ind_360D_I_EUR">#REF!</definedName>
    <definedName name="DF17_Alloc_Ind_360D_I_OthC">#REF!</definedName>
    <definedName name="DF17_Alloc_Ind_360D_I_RUR">#REF!</definedName>
    <definedName name="DF17_Alloc_Ind_360D_I_USD">#REF!</definedName>
    <definedName name="DF17_Alloc_Ind_60D_Am_AMD">#REF!</definedName>
    <definedName name="DF17_Alloc_Ind_60D_Am_EUR">#REF!</definedName>
    <definedName name="DF17_Alloc_Ind_60D_Am_OthC">#REF!</definedName>
    <definedName name="DF17_Alloc_Ind_60D_Am_RUR">#REF!</definedName>
    <definedName name="DF17_Alloc_Ind_60D_Am_USD">#REF!</definedName>
    <definedName name="DF17_Alloc_Ind_60D_I_AMD">#REF!</definedName>
    <definedName name="DF17_Alloc_Ind_60D_I_EUR">#REF!</definedName>
    <definedName name="DF17_Alloc_Ind_60D_I_OthC">#REF!</definedName>
    <definedName name="DF17_Alloc_Ind_60D_I_RUR">#REF!</definedName>
    <definedName name="DF17_Alloc_Ind_60D_I_USD">#REF!</definedName>
    <definedName name="DF17_Alloc_Ind_90D_Am_AMD">#REF!</definedName>
    <definedName name="DF17_Alloc_Ind_90D_Am_EUR">#REF!</definedName>
    <definedName name="DF17_Alloc_Ind_90D_Am_OthC">#REF!</definedName>
    <definedName name="DF17_Alloc_Ind_90D_Am_RUR">#REF!</definedName>
    <definedName name="DF17_Alloc_Ind_90D_Am_USD">#REF!</definedName>
    <definedName name="DF17_Alloc_Ind_90D_I_AMD">#REF!</definedName>
    <definedName name="DF17_Alloc_Ind_90D_I_EUR">#REF!</definedName>
    <definedName name="DF17_Alloc_Ind_90D_I_OthC">#REF!</definedName>
    <definedName name="DF17_Alloc_Ind_90D_I_RUR">#REF!</definedName>
    <definedName name="DF17_Alloc_Ind_90D_I_USD">#REF!</definedName>
    <definedName name="DF17_Alloc_Ind_Dem_Am_AMD">#REF!</definedName>
    <definedName name="DF17_Alloc_Ind_Dem_Am_EUR">#REF!</definedName>
    <definedName name="DF17_Alloc_Ind_Dem_Am_OthC">#REF!</definedName>
    <definedName name="DF17_Alloc_Ind_Dem_Am_RUR">#REF!</definedName>
    <definedName name="DF17_Alloc_Ind_Dem_Am_USD">#REF!</definedName>
    <definedName name="DF17_Alloc_Ind_Dem_I_AMD">#REF!</definedName>
    <definedName name="DF17_Alloc_Ind_Dem_I_EUR">#REF!</definedName>
    <definedName name="DF17_Alloc_Ind_Dem_I_OthC">#REF!</definedName>
    <definedName name="DF17_Alloc_Ind_Dem_I_RUR">#REF!</definedName>
    <definedName name="DF17_Alloc_Ind_Dem_I_USD">#REF!</definedName>
    <definedName name="DF17_Alloc_Ind_Mr360D_Am_AMD">#REF!</definedName>
    <definedName name="DF17_Alloc_Ind_Mr360D_Am_EUR">#REF!</definedName>
    <definedName name="DF17_Alloc_Ind_Mr360D_Am_OthC">#REF!</definedName>
    <definedName name="DF17_Alloc_Ind_Mr360D_Am_RUR">#REF!</definedName>
    <definedName name="DF17_Alloc_Ind_Mr360D_Am_USD">#REF!</definedName>
    <definedName name="DF17_Alloc_Ind_Mr360D_I_AMD">#REF!</definedName>
    <definedName name="DF17_Alloc_Ind_Mr360D_I_EUR">#REF!</definedName>
    <definedName name="DF17_Alloc_Ind_Mr360D_I_OthC">#REF!</definedName>
    <definedName name="DF17_Alloc_Ind_Mr360D_I_RUR">#REF!</definedName>
    <definedName name="DF17_Alloc_Ind_Mr360D_I_USD">#REF!</definedName>
    <definedName name="DF17_Alloc_IndCo_Mr360D_Am_Oth">#REF!</definedName>
    <definedName name="DF17_Alloc_IndCo_Mr360D_Am_USD">#REF!</definedName>
    <definedName name="DF17_Alloc_IndCo_Mr360D_I_OthC">#REF!</definedName>
    <definedName name="DF17_Alloc_IndCor_15D_Am_AMD">#REF!</definedName>
    <definedName name="DF17_Alloc_IndCor_15D_Am_EUR">#REF!</definedName>
    <definedName name="DF17_Alloc_IndCor_15D_Am_OthC">#REF!</definedName>
    <definedName name="DF17_Alloc_IndCor_15D_Am_RUR">#REF!</definedName>
    <definedName name="DF17_Alloc_IndCor_15D_Am_USD">#REF!</definedName>
    <definedName name="DF17_Alloc_IndCor_15D_I_AMD">#REF!</definedName>
    <definedName name="DF17_Alloc_IndCor_15D_I_EUR">#REF!</definedName>
    <definedName name="DF17_Alloc_IndCor_15D_I_OthC">#REF!</definedName>
    <definedName name="DF17_Alloc_IndCor_15D_I_RUR">#REF!</definedName>
    <definedName name="DF17_Alloc_IndCor_15D_I_USD">#REF!</definedName>
    <definedName name="DF17_Alloc_IndCor_180D_Am_AMD">#REF!</definedName>
    <definedName name="DF17_Alloc_IndCor_180D_Am_EUR">#REF!</definedName>
    <definedName name="DF17_Alloc_IndCor_180D_Am_OthC">#REF!</definedName>
    <definedName name="DF17_Alloc_IndCor_180D_Am_RUR">#REF!</definedName>
    <definedName name="DF17_Alloc_IndCor_180D_Am_USD">#REF!</definedName>
    <definedName name="DF17_Alloc_IndCor_180D_I_AMD">#REF!</definedName>
    <definedName name="DF17_Alloc_IndCor_180D_I_EUR">#REF!</definedName>
    <definedName name="DF17_Alloc_IndCor_180D_I_OthC">#REF!</definedName>
    <definedName name="DF17_Alloc_IndCor_180D_I_RUR">#REF!</definedName>
    <definedName name="DF17_Alloc_IndCor_180D_I_USD">#REF!</definedName>
    <definedName name="DF17_Alloc_IndCor_30D_Am_AMD">#REF!</definedName>
    <definedName name="DF17_Alloc_IndCor_30D_Am_EUR">#REF!</definedName>
    <definedName name="DF17_Alloc_IndCor_30D_Am_OthC">#REF!</definedName>
    <definedName name="DF17_Alloc_IndCor_30D_Am_RUR">#REF!</definedName>
    <definedName name="DF17_Alloc_IndCor_30D_Am_USD">#REF!</definedName>
    <definedName name="DF17_Alloc_IndCor_30D_I_AMD">#REF!</definedName>
    <definedName name="DF17_Alloc_IndCor_30D_I_EUR">#REF!</definedName>
    <definedName name="DF17_Alloc_IndCor_30D_I_OthC">#REF!</definedName>
    <definedName name="DF17_Alloc_IndCor_30D_I_RUR">#REF!</definedName>
    <definedName name="DF17_Alloc_IndCor_30D_I_USD">#REF!</definedName>
    <definedName name="DF17_Alloc_IndCor_360D_Am_AMD">#REF!</definedName>
    <definedName name="DF17_Alloc_IndCor_360D_Am_EUR">#REF!</definedName>
    <definedName name="DF17_Alloc_IndCor_360D_Am_OthC">#REF!</definedName>
    <definedName name="DF17_Alloc_IndCor_360D_Am_RUR">#REF!</definedName>
    <definedName name="DF17_Alloc_IndCor_360D_Am_USD">#REF!</definedName>
    <definedName name="DF17_Alloc_IndCor_360D_I_AMD">#REF!</definedName>
    <definedName name="DF17_Alloc_IndCor_360D_I_EUR">#REF!</definedName>
    <definedName name="DF17_Alloc_IndCor_360D_I_OthC">#REF!</definedName>
    <definedName name="DF17_Alloc_IndCor_360D_I_RUR">#REF!</definedName>
    <definedName name="DF17_Alloc_IndCor_360D_I_USD">#REF!</definedName>
    <definedName name="DF17_Alloc_IndCor_60D_Am_AMD">#REF!</definedName>
    <definedName name="DF17_Alloc_IndCor_60D_Am_EUR">#REF!</definedName>
    <definedName name="DF17_Alloc_IndCor_60D_Am_OthC">#REF!</definedName>
    <definedName name="DF17_Alloc_IndCor_60D_Am_RUR">#REF!</definedName>
    <definedName name="DF17_Alloc_IndCor_60D_Am_USD">#REF!</definedName>
    <definedName name="DF17_Alloc_IndCor_60D_I_AMD">#REF!</definedName>
    <definedName name="DF17_Alloc_IndCor_60D_I_EUR">#REF!</definedName>
    <definedName name="DF17_Alloc_IndCor_60D_I_OthC">#REF!</definedName>
    <definedName name="DF17_Alloc_IndCor_60D_I_RUR">#REF!</definedName>
    <definedName name="DF17_Alloc_IndCor_60D_I_USD">#REF!</definedName>
    <definedName name="DF17_Alloc_IndCor_90D_Am_AMD">#REF!</definedName>
    <definedName name="DF17_Alloc_IndCor_90D_Am_EUR">#REF!</definedName>
    <definedName name="DF17_Alloc_IndCor_90D_Am_OthC">#REF!</definedName>
    <definedName name="DF17_Alloc_IndCor_90D_Am_RUR">#REF!</definedName>
    <definedName name="DF17_Alloc_IndCor_90D_Am_USD">#REF!</definedName>
    <definedName name="DF17_Alloc_IndCor_90D_I_AMD">#REF!</definedName>
    <definedName name="DF17_Alloc_IndCor_90D_I_EUR">#REF!</definedName>
    <definedName name="DF17_Alloc_IndCor_90D_I_OthC">#REF!</definedName>
    <definedName name="DF17_Alloc_IndCor_90D_I_RUR">#REF!</definedName>
    <definedName name="DF17_Alloc_IndCor_90D_I_USD">#REF!</definedName>
    <definedName name="DF17_Alloc_IndCor_Dem_Am_AMD">#REF!</definedName>
    <definedName name="DF17_Alloc_IndCor_Dem_Am_EUR">#REF!</definedName>
    <definedName name="DF17_Alloc_IndCor_Dem_Am_OthC">#REF!</definedName>
    <definedName name="DF17_Alloc_IndCor_Dem_Am_RUR">#REF!</definedName>
    <definedName name="DF17_Alloc_IndCor_Dem_Am_USD">#REF!</definedName>
    <definedName name="DF17_Alloc_IndCor_Dem_I_AMD">#REF!</definedName>
    <definedName name="DF17_Alloc_IndCor_Dem_I_EUR">#REF!</definedName>
    <definedName name="DF17_Alloc_IndCor_Dem_I_OthC">#REF!</definedName>
    <definedName name="DF17_Alloc_IndCor_Dem_I_RUR">#REF!</definedName>
    <definedName name="DF17_Alloc_IndCor_Dem_I_USD">#REF!</definedName>
    <definedName name="DF17_Alloc_IndCor_Mr360D_Am_AM">#REF!</definedName>
    <definedName name="DF17_Alloc_IndCor_Mr360D_Am_EU">#REF!</definedName>
    <definedName name="DF17_Alloc_IndCor_Mr360D_Am_RU">#REF!</definedName>
    <definedName name="DF17_Alloc_IndCor_Mr360D_I_AMD">#REF!</definedName>
    <definedName name="DF17_Alloc_IndCor_Mr360D_I_EUR">#REF!</definedName>
    <definedName name="DF17_Alloc_IndCor_Mr360D_I_RUR">#REF!</definedName>
    <definedName name="DF17_Alloc_IndCor_Mr360D_I_USD">#REF!</definedName>
    <definedName name="DF17_Alloc_IntOr_15D_Am_AMD">#REF!</definedName>
    <definedName name="DF17_Alloc_IntOr_15D_Am_EUR">#REF!</definedName>
    <definedName name="DF17_Alloc_IntOr_15D_Am_OthC">#REF!</definedName>
    <definedName name="DF17_Alloc_IntOr_15D_Am_RUR">#REF!</definedName>
    <definedName name="DF17_Alloc_IntOr_15D_Am_USD">#REF!</definedName>
    <definedName name="DF17_Alloc_IntOr_15D_I_AMD">#REF!</definedName>
    <definedName name="DF17_Alloc_IntOr_15D_I_EUR">#REF!</definedName>
    <definedName name="DF17_Alloc_IntOr_15D_I_OthC">#REF!</definedName>
    <definedName name="DF17_Alloc_IntOr_15D_I_RUR">#REF!</definedName>
    <definedName name="DF17_Alloc_IntOr_15D_I_USD">#REF!</definedName>
    <definedName name="DF17_Alloc_IntOr_180D_Am_AMD">#REF!</definedName>
    <definedName name="DF17_Alloc_IntOr_180D_Am_EUR">#REF!</definedName>
    <definedName name="DF17_Alloc_IntOr_180D_Am_OthC">#REF!</definedName>
    <definedName name="DF17_Alloc_IntOr_180D_Am_RUR">#REF!</definedName>
    <definedName name="DF17_Alloc_IntOr_180D_Am_USD">#REF!</definedName>
    <definedName name="DF17_Alloc_IntOr_180D_I_AMD">#REF!</definedName>
    <definedName name="DF17_Alloc_IntOr_180D_I_EUR">#REF!</definedName>
    <definedName name="DF17_Alloc_IntOr_180D_I_OthC">#REF!</definedName>
    <definedName name="DF17_Alloc_IntOr_180D_I_RUR">#REF!</definedName>
    <definedName name="DF17_Alloc_IntOr_180D_I_USD">#REF!</definedName>
    <definedName name="DF17_Alloc_IntOr_30D_Am_AMD">#REF!</definedName>
    <definedName name="DF17_Alloc_IntOr_30D_Am_EUR">#REF!</definedName>
    <definedName name="DF17_Alloc_IntOr_30D_Am_OthC">#REF!</definedName>
    <definedName name="DF17_Alloc_IntOr_30D_Am_RUR">#REF!</definedName>
    <definedName name="DF17_Alloc_IntOr_30D_Am_USD">#REF!</definedName>
    <definedName name="DF17_Alloc_IntOr_30D_I_AMD">#REF!</definedName>
    <definedName name="DF17_Alloc_IntOr_30D_I_EUR">#REF!</definedName>
    <definedName name="DF17_Alloc_IntOr_30D_I_OthC">#REF!</definedName>
    <definedName name="DF17_Alloc_IntOr_30D_I_RUR">#REF!</definedName>
    <definedName name="DF17_Alloc_IntOr_30D_I_USD">#REF!</definedName>
    <definedName name="DF17_Alloc_IntOr_360D_Am_AMD">#REF!</definedName>
    <definedName name="DF17_Alloc_IntOr_360D_Am_EUR">#REF!</definedName>
    <definedName name="DF17_Alloc_IntOr_360D_Am_OthC">#REF!</definedName>
    <definedName name="DF17_Alloc_IntOr_360D_Am_RUR">#REF!</definedName>
    <definedName name="DF17_Alloc_IntOr_360D_Am_USD">#REF!</definedName>
    <definedName name="DF17_Alloc_IntOr_360D_I_AMD">#REF!</definedName>
    <definedName name="DF17_Alloc_IntOr_360D_I_EUR">#REF!</definedName>
    <definedName name="DF17_Alloc_IntOr_360D_I_OthC">#REF!</definedName>
    <definedName name="DF17_Alloc_IntOr_360D_I_RUR">#REF!</definedName>
    <definedName name="DF17_Alloc_IntOr_360D_I_USD">#REF!</definedName>
    <definedName name="DF17_Alloc_IntOr_60D_Am_AMD">#REF!</definedName>
    <definedName name="DF17_Alloc_IntOr_60D_Am_EUR">#REF!</definedName>
    <definedName name="DF17_Alloc_IntOr_60D_Am_OthC">#REF!</definedName>
    <definedName name="DF17_Alloc_IntOr_60D_Am_RUR">#REF!</definedName>
    <definedName name="DF17_Alloc_IntOr_60D_Am_USD">#REF!</definedName>
    <definedName name="DF17_Alloc_IntOr_60D_I_AMD">#REF!</definedName>
    <definedName name="DF17_Alloc_IntOr_60D_I_EUR">#REF!</definedName>
    <definedName name="DF17_Alloc_IntOr_60D_I_OthC">#REF!</definedName>
    <definedName name="DF17_Alloc_IntOr_60D_I_RUR">#REF!</definedName>
    <definedName name="DF17_Alloc_IntOr_60D_I_USD">#REF!</definedName>
    <definedName name="DF17_Alloc_IntOr_90D_Am_AMD">#REF!</definedName>
    <definedName name="DF17_Alloc_IntOr_90D_Am_EUR">#REF!</definedName>
    <definedName name="DF17_Alloc_IntOr_90D_Am_OthC">#REF!</definedName>
    <definedName name="DF17_Alloc_IntOr_90D_Am_RUR">#REF!</definedName>
    <definedName name="DF17_Alloc_IntOr_90D_Am_USD">#REF!</definedName>
    <definedName name="DF17_Alloc_IntOr_90D_I_AMD">#REF!</definedName>
    <definedName name="DF17_Alloc_IntOr_90D_I_EUR">#REF!</definedName>
    <definedName name="DF17_Alloc_IntOr_90D_I_OthC">#REF!</definedName>
    <definedName name="DF17_Alloc_IntOr_90D_I_RUR">#REF!</definedName>
    <definedName name="DF17_Alloc_IntOr_90D_I_USD">#REF!</definedName>
    <definedName name="DF17_Alloc_IntOr_Dem_Am_AMD">#REF!</definedName>
    <definedName name="DF17_Alloc_IntOr_Dem_Am_EUR">#REF!</definedName>
    <definedName name="DF17_Alloc_IntOr_Dem_Am_OthC">#REF!</definedName>
    <definedName name="DF17_Alloc_IntOr_Dem_Am_RUR">#REF!</definedName>
    <definedName name="DF17_Alloc_IntOr_Dem_Am_USD">#REF!</definedName>
    <definedName name="DF17_Alloc_IntOr_Dem_I_AMD">#REF!</definedName>
    <definedName name="DF17_Alloc_IntOr_Dem_I_EUR">#REF!</definedName>
    <definedName name="DF17_Alloc_IntOr_Dem_I_OthC">#REF!</definedName>
    <definedName name="DF17_Alloc_IntOr_Dem_I_RUR">#REF!</definedName>
    <definedName name="DF17_Alloc_IntOr_Dem_I_USD">#REF!</definedName>
    <definedName name="DF17_Alloc_IntOr_Mr360D_Am_AMD">#REF!</definedName>
    <definedName name="DF17_Alloc_IntOr_Mr360D_Am_EUR">#REF!</definedName>
    <definedName name="DF17_Alloc_IntOr_Mr360D_Am_Oth">#REF!</definedName>
    <definedName name="DF17_Alloc_IntOr_Mr360D_Am_RUR">#REF!</definedName>
    <definedName name="DF17_Alloc_IntOr_Mr360D_Am_USD">#REF!</definedName>
    <definedName name="DF17_Alloc_IntOr_Mr360D_I_AMD">#REF!</definedName>
    <definedName name="DF17_Alloc_IntOr_Mr360D_I_EUR">#REF!</definedName>
    <definedName name="DF17_Alloc_IntOr_Mr360D_I_OthC">#REF!</definedName>
    <definedName name="DF17_Alloc_IntOr_Mr360D_I_RUR">#REF!</definedName>
    <definedName name="DF17_Alloc_IntOr_Mr360D_I_USD">#REF!</definedName>
    <definedName name="DF17_Alloc_OthBn_15D_Am_AMD">#REF!</definedName>
    <definedName name="DF17_Alloc_OthBn_15D_Am_EUR">#REF!</definedName>
    <definedName name="DF17_Alloc_OthBn_15D_Am_OthC">#REF!</definedName>
    <definedName name="DF17_Alloc_OthBn_15D_Am_RUR">#REF!</definedName>
    <definedName name="DF17_Alloc_OthBn_15D_Am_USD">#REF!</definedName>
    <definedName name="DF17_Alloc_OthBn_15D_I_AMD">#REF!</definedName>
    <definedName name="DF17_Alloc_OthBn_15D_I_EUR">#REF!</definedName>
    <definedName name="DF17_Alloc_OthBn_15D_I_OthC">#REF!</definedName>
    <definedName name="DF17_Alloc_OthBn_15D_I_RUR">#REF!</definedName>
    <definedName name="DF17_Alloc_OthBn_15D_I_USD">#REF!</definedName>
    <definedName name="DF17_Alloc_OthBn_180D_Am_AMD">#REF!</definedName>
    <definedName name="DF17_Alloc_OthBn_180D_Am_EUR">#REF!</definedName>
    <definedName name="DF17_Alloc_OthBn_180D_Am_OthC">#REF!</definedName>
    <definedName name="DF17_Alloc_OthBn_180D_Am_RUR">#REF!</definedName>
    <definedName name="DF17_Alloc_OthBn_180D_Am_USD">#REF!</definedName>
    <definedName name="DF17_Alloc_OthBn_180D_I_AMD">#REF!</definedName>
    <definedName name="DF17_Alloc_OthBn_180D_I_EUR">#REF!</definedName>
    <definedName name="DF17_Alloc_OthBn_180D_I_OthC">#REF!</definedName>
    <definedName name="DF17_Alloc_OthBn_180D_I_RUR">#REF!</definedName>
    <definedName name="DF17_Alloc_OthBn_180D_I_USD">#REF!</definedName>
    <definedName name="DF17_Alloc_OthBn_30D_Am_AMD">#REF!</definedName>
    <definedName name="DF17_Alloc_OthBn_30D_Am_EUR">#REF!</definedName>
    <definedName name="DF17_Alloc_OthBn_30D_Am_OthC">#REF!</definedName>
    <definedName name="DF17_Alloc_OthBn_30D_Am_RUR">#REF!</definedName>
    <definedName name="DF17_Alloc_OthBn_30D_Am_USD">#REF!</definedName>
    <definedName name="DF17_Alloc_OthBn_30D_I_AMD">#REF!</definedName>
    <definedName name="DF17_Alloc_OthBn_30D_I_EUR">#REF!</definedName>
    <definedName name="DF17_Alloc_OthBn_30D_I_OthC">#REF!</definedName>
    <definedName name="DF17_Alloc_OthBn_30D_I_RUR">#REF!</definedName>
    <definedName name="DF17_Alloc_OthBn_30D_I_USD">#REF!</definedName>
    <definedName name="DF17_Alloc_OthBn_360D_Am_AMD">#REF!</definedName>
    <definedName name="DF17_Alloc_OthBn_360D_Am_EUR">#REF!</definedName>
    <definedName name="DF17_Alloc_OthBn_360D_Am_OthC">#REF!</definedName>
    <definedName name="DF17_Alloc_OthBn_360D_Am_RUR">#REF!</definedName>
    <definedName name="DF17_Alloc_OthBn_360D_Am_USD">#REF!</definedName>
    <definedName name="DF17_Alloc_OthBn_360D_I_AMD">#REF!</definedName>
    <definedName name="DF17_Alloc_OthBn_360D_I_EUR">#REF!</definedName>
    <definedName name="DF17_Alloc_OthBn_360D_I_OthC">#REF!</definedName>
    <definedName name="DF17_Alloc_OthBn_360D_I_RUR">#REF!</definedName>
    <definedName name="DF17_Alloc_OthBn_360D_I_USD">#REF!</definedName>
    <definedName name="DF17_Alloc_OthBn_60D_Am_AMD">#REF!</definedName>
    <definedName name="DF17_Alloc_OthBn_60D_Am_EUR">#REF!</definedName>
    <definedName name="DF17_Alloc_OthBn_60D_Am_OthC">#REF!</definedName>
    <definedName name="DF17_Alloc_OthBn_60D_Am_RUR">#REF!</definedName>
    <definedName name="DF17_Alloc_OthBn_60D_Am_USD">#REF!</definedName>
    <definedName name="DF17_Alloc_OthBn_60D_I_AMD">#REF!</definedName>
    <definedName name="DF17_Alloc_OthBn_60D_I_EUR">#REF!</definedName>
    <definedName name="DF17_Alloc_OthBn_60D_I_OthC">#REF!</definedName>
    <definedName name="DF17_Alloc_OthBn_60D_I_RUR">#REF!</definedName>
    <definedName name="DF17_Alloc_OthBn_60D_I_USD">#REF!</definedName>
    <definedName name="DF17_Alloc_OthBn_90D_Am_AMD">#REF!</definedName>
    <definedName name="DF17_Alloc_OthBn_90D_Am_EUR">#REF!</definedName>
    <definedName name="DF17_Alloc_OthBn_90D_Am_OthC">#REF!</definedName>
    <definedName name="DF17_Alloc_OthBn_90D_Am_RUR">#REF!</definedName>
    <definedName name="DF17_Alloc_OthBn_90D_Am_USD">#REF!</definedName>
    <definedName name="DF17_Alloc_OthBn_90D_I_AMD">#REF!</definedName>
    <definedName name="DF17_Alloc_OthBn_90D_I_EUR">#REF!</definedName>
    <definedName name="DF17_Alloc_OthBn_90D_I_OthC">#REF!</definedName>
    <definedName name="DF17_Alloc_OthBn_90D_I_RUR">#REF!</definedName>
    <definedName name="DF17_Alloc_OthBn_90D_I_USD">#REF!</definedName>
    <definedName name="DF17_Alloc_OthBn_Dem_Am_AMD">#REF!</definedName>
    <definedName name="DF17_Alloc_OthBn_Dem_Am_EUR">#REF!</definedName>
    <definedName name="DF17_Alloc_OthBn_Dem_Am_OthC">#REF!</definedName>
    <definedName name="DF17_Alloc_OthBn_Dem_Am_RUR">#REF!</definedName>
    <definedName name="DF17_Alloc_OthBn_Dem_Am_USD">#REF!</definedName>
    <definedName name="DF17_Alloc_OthBn_Dem_I_AMD">#REF!</definedName>
    <definedName name="DF17_Alloc_OthBn_Dem_I_EUR">#REF!</definedName>
    <definedName name="DF17_Alloc_OthBn_Dem_I_OthC">#REF!</definedName>
    <definedName name="DF17_Alloc_OthBn_Dem_I_RUR">#REF!</definedName>
    <definedName name="DF17_Alloc_OthBn_Dem_I_USD">#REF!</definedName>
    <definedName name="DF17_Alloc_OthBn_Mr360D_Am_AMD">#REF!</definedName>
    <definedName name="DF17_Alloc_OthBn_Mr360D_Am_EUR">#REF!</definedName>
    <definedName name="DF17_Alloc_OthBn_Mr360D_Am_Oth">#REF!</definedName>
    <definedName name="DF17_Alloc_OthBn_Mr360D_Am_RUR">#REF!</definedName>
    <definedName name="DF17_Alloc_OthBn_Mr360D_Am_USD">#REF!</definedName>
    <definedName name="DF17_Alloc_OthBn_Mr360D_I_AMD">#REF!</definedName>
    <definedName name="DF17_Alloc_OthBn_Mr360D_I_EUR">#REF!</definedName>
    <definedName name="DF17_Alloc_OthBn_Mr360D_I_OthC">#REF!</definedName>
    <definedName name="DF17_Alloc_OthBn_Mr360D_I_RUR">#REF!</definedName>
    <definedName name="DF17_Alloc_OthBn_Mr360D_I_USD">#REF!</definedName>
    <definedName name="DF17_Alloc_Repo_15D_Am_ABnk">#REF!</definedName>
    <definedName name="DF17_Alloc_Repo_15D_Am_Bus">#REF!</definedName>
    <definedName name="DF17_Alloc_Repo_15D_Am_Ind">#REF!</definedName>
    <definedName name="DF17_Alloc_Repo_15D_Am_OthBn">#REF!</definedName>
    <definedName name="DF17_Alloc_Repo_15D_I_ABnk">#REF!</definedName>
    <definedName name="DF17_Alloc_Repo_15D_I_Bus">#REF!</definedName>
    <definedName name="DF17_Alloc_Repo_15D_I_Ind">#REF!</definedName>
    <definedName name="DF17_Alloc_Repo_15D_I_OthBn">#REF!</definedName>
    <definedName name="DF17_Alloc_Repo_180D_Am_ABnk">#REF!</definedName>
    <definedName name="DF17_Alloc_Repo_180D_Am_Bus">#REF!</definedName>
    <definedName name="DF17_Alloc_Repo_180D_Am_Ind">#REF!</definedName>
    <definedName name="DF17_Alloc_Repo_180D_Am_OthBn">#REF!</definedName>
    <definedName name="DF17_Alloc_Repo_180D_I_ABnk">#REF!</definedName>
    <definedName name="DF17_Alloc_Repo_180D_I_Bus">#REF!</definedName>
    <definedName name="DF17_Alloc_Repo_180D_I_Ind">#REF!</definedName>
    <definedName name="DF17_Alloc_Repo_180D_I_OthBn">#REF!</definedName>
    <definedName name="DF17_Alloc_Repo_30D_Am_ABnk">#REF!</definedName>
    <definedName name="DF17_Alloc_Repo_30D_Am_Bus">#REF!</definedName>
    <definedName name="DF17_Alloc_Repo_30D_Am_Ind">#REF!</definedName>
    <definedName name="DF17_Alloc_Repo_30D_Am_OthBn">#REF!</definedName>
    <definedName name="DF17_Alloc_Repo_30D_I_ABnk">#REF!</definedName>
    <definedName name="DF17_Alloc_Repo_30D_I_Bus">#REF!</definedName>
    <definedName name="DF17_Alloc_Repo_30D_I_Ind">#REF!</definedName>
    <definedName name="DF17_Alloc_Repo_30D_I_OthBn">#REF!</definedName>
    <definedName name="DF17_Alloc_Repo_360D_Am_ABnk">#REF!</definedName>
    <definedName name="DF17_Alloc_Repo_360D_Am_Bus">#REF!</definedName>
    <definedName name="DF17_Alloc_Repo_360D_Am_Ind">#REF!</definedName>
    <definedName name="DF17_Alloc_Repo_360D_Am_OthBn">#REF!</definedName>
    <definedName name="DF17_Alloc_Repo_360D_I_ABnk">#REF!</definedName>
    <definedName name="DF17_Alloc_Repo_360D_I_Bus">#REF!</definedName>
    <definedName name="DF17_Alloc_Repo_360D_I_Ind">#REF!</definedName>
    <definedName name="DF17_Alloc_Repo_360D_I_OthBn">#REF!</definedName>
    <definedName name="DF17_Alloc_Repo_60D_Am_ABnk">#REF!</definedName>
    <definedName name="DF17_Alloc_Repo_60D_Am_Bus">#REF!</definedName>
    <definedName name="DF17_Alloc_Repo_60D_Am_Ind">#REF!</definedName>
    <definedName name="DF17_Alloc_Repo_60D_Am_OthBn">#REF!</definedName>
    <definedName name="DF17_Alloc_Repo_60D_I_ABnk">#REF!</definedName>
    <definedName name="DF17_Alloc_Repo_60D_I_Bus">#REF!</definedName>
    <definedName name="DF17_Alloc_Repo_60D_I_Ind">#REF!</definedName>
    <definedName name="DF17_Alloc_Repo_60D_I_OthBn">#REF!</definedName>
    <definedName name="DF17_Alloc_Repo_90D_Am_ABnk">#REF!</definedName>
    <definedName name="DF17_Alloc_Repo_90D_Am_Bus">#REF!</definedName>
    <definedName name="DF17_Alloc_Repo_90D_Am_Ind">#REF!</definedName>
    <definedName name="DF17_Alloc_Repo_90D_Am_OthBn">#REF!</definedName>
    <definedName name="DF17_Alloc_Repo_90D_I_ABnk">#REF!</definedName>
    <definedName name="DF17_Alloc_Repo_90D_I_Bus">#REF!</definedName>
    <definedName name="DF17_Alloc_Repo_90D_I_Ind">#REF!</definedName>
    <definedName name="DF17_Alloc_Repo_90D_I_OthBn">#REF!</definedName>
    <definedName name="DF17_Alloc_Repo_Dem_Am_ABnk">#REF!</definedName>
    <definedName name="DF17_Alloc_Repo_Dem_Am_Bus">#REF!</definedName>
    <definedName name="DF17_Alloc_Repo_Dem_Am_Ind">#REF!</definedName>
    <definedName name="DF17_Alloc_Repo_Dem_Am_OthBn">#REF!</definedName>
    <definedName name="DF17_Alloc_Repo_Dem_I_ABnk">#REF!</definedName>
    <definedName name="DF17_Alloc_Repo_Dem_I_Bus">#REF!</definedName>
    <definedName name="DF17_Alloc_Repo_Dem_I_Ind">#REF!</definedName>
    <definedName name="DF17_Alloc_Repo_Dem_I_OthBn">#REF!</definedName>
    <definedName name="DF17_Alloc_Repo_Mr360D_Am_ABnk">#REF!</definedName>
    <definedName name="DF17_Alloc_Repo_Mr360D_Am_Bus">#REF!</definedName>
    <definedName name="DF17_Alloc_Repo_Mr360D_Am_Ind">#REF!</definedName>
    <definedName name="DF17_Alloc_Repo_Mr360D_Am_OthB">#REF!</definedName>
    <definedName name="DF17_Alloc_Repo_Mr360D_I_ABnk">#REF!</definedName>
    <definedName name="DF17_Alloc_Repo_Mr360D_I_Bus">#REF!</definedName>
    <definedName name="DF17_Alloc_Repo_Mr360D_I_Ind">#REF!</definedName>
    <definedName name="DF17_Alloc_Repo_Mr360D_I_OthBn">#REF!</definedName>
    <definedName name="DF17_Alloc_RepoF_Mr360D_Am">#REF!</definedName>
    <definedName name="DF17_Alloc_RepoFX_15D_Am">#REF!</definedName>
    <definedName name="DF17_Alloc_RepoFX_15D_I">#REF!</definedName>
    <definedName name="DF17_Alloc_RepoFX_180D_Am">#REF!</definedName>
    <definedName name="DF17_Alloc_RepoFX_180D_I">#REF!</definedName>
    <definedName name="DF17_Alloc_RepoFX_30D_Am">#REF!</definedName>
    <definedName name="DF17_Alloc_RepoFX_30D_I">#REF!</definedName>
    <definedName name="DF17_Alloc_RepoFX_360D_Am">#REF!</definedName>
    <definedName name="DF17_Alloc_RepoFX_360D_I">#REF!</definedName>
    <definedName name="DF17_Alloc_RepoFX_60D_Am">#REF!</definedName>
    <definedName name="DF17_Alloc_RepoFX_60D_I">#REF!</definedName>
    <definedName name="DF17_Alloc_RepoFX_90D_Am">#REF!</definedName>
    <definedName name="DF17_Alloc_RepoFX_90D_I">#REF!</definedName>
    <definedName name="DF17_Alloc_RepoFX_Dem_Am">#REF!</definedName>
    <definedName name="DF17_Alloc_RepoFX_Dem_I">#REF!</definedName>
    <definedName name="DF17_Alloc_RepoFX_Mr360D_I">#REF!</definedName>
    <definedName name="DF17_Tot_15D_Am_AMD">#REF!</definedName>
    <definedName name="DF17_Tot_15D_Am_EUR">#REF!</definedName>
    <definedName name="DF17_Tot_15D_Am_OthC">#REF!</definedName>
    <definedName name="DF17_Tot_15D_Am_RUR">#REF!</definedName>
    <definedName name="DF17_Tot_15D_Am_USD">#REF!</definedName>
    <definedName name="DF17_Tot_15D_I_AMD">#REF!</definedName>
    <definedName name="DF17_Tot_15D_I_EUR">#REF!</definedName>
    <definedName name="DF17_Tot_15D_I_OthC">#REF!</definedName>
    <definedName name="DF17_Tot_15D_I_RUR">#REF!</definedName>
    <definedName name="DF17_Tot_15D_I_USD">#REF!</definedName>
    <definedName name="DF17_Tot_180D_Am_AMD">#REF!</definedName>
    <definedName name="DF17_Tot_180D_Am_EUR">#REF!</definedName>
    <definedName name="DF17_Tot_180D_Am_OthC">#REF!</definedName>
    <definedName name="DF17_Tot_180D_Am_RUR">#REF!</definedName>
    <definedName name="DF17_Tot_180D_Am_USD">#REF!</definedName>
    <definedName name="DF17_Tot_180D_I_AMD">#REF!</definedName>
    <definedName name="DF17_Tot_180D_I_EUR">#REF!</definedName>
    <definedName name="DF17_Tot_180D_I_OthC">#REF!</definedName>
    <definedName name="DF17_Tot_180D_I_RUR">#REF!</definedName>
    <definedName name="DF17_Tot_180D_I_USD">#REF!</definedName>
    <definedName name="DF17_Tot_30D_Am_AMD">#REF!</definedName>
    <definedName name="DF17_Tot_30D_Am_EUR">#REF!</definedName>
    <definedName name="DF17_Tot_30D_Am_OthC">#REF!</definedName>
    <definedName name="DF17_Tot_30D_Am_RUR">#REF!</definedName>
    <definedName name="DF17_Tot_30D_Am_USD">#REF!</definedName>
    <definedName name="DF17_Tot_30D_I_AMD">#REF!</definedName>
    <definedName name="DF17_Tot_30D_I_EUR">#REF!</definedName>
    <definedName name="DF17_Tot_30D_I_OthC">#REF!</definedName>
    <definedName name="DF17_Tot_30D_I_RUR">#REF!</definedName>
    <definedName name="DF17_Tot_30D_I_USD">#REF!</definedName>
    <definedName name="DF17_Tot_360D_Am_AMD">#REF!</definedName>
    <definedName name="DF17_Tot_360D_Am_EUR">#REF!</definedName>
    <definedName name="DF17_Tot_360D_Am_OthC">#REF!</definedName>
    <definedName name="DF17_Tot_360D_Am_RUR">#REF!</definedName>
    <definedName name="DF17_Tot_360D_Am_USD">#REF!</definedName>
    <definedName name="DF17_Tot_360D_I_AMD">#REF!</definedName>
    <definedName name="DF17_Tot_360D_I_EUR">#REF!</definedName>
    <definedName name="DF17_Tot_360D_I_OthC">#REF!</definedName>
    <definedName name="DF17_Tot_360D_I_RUR">#REF!</definedName>
    <definedName name="DF17_Tot_360D_I_USD">#REF!</definedName>
    <definedName name="DF17_Tot_60D_Am_AMD">#REF!</definedName>
    <definedName name="DF17_Tot_60D_Am_EUR">#REF!</definedName>
    <definedName name="DF17_Tot_60D_Am_OthC">#REF!</definedName>
    <definedName name="DF17_Tot_60D_Am_RUR">#REF!</definedName>
    <definedName name="DF17_Tot_60D_Am_USD">#REF!</definedName>
    <definedName name="DF17_Tot_60D_I_AMD">#REF!</definedName>
    <definedName name="DF17_Tot_60D_I_EUR">#REF!</definedName>
    <definedName name="DF17_Tot_60D_I_OthC">#REF!</definedName>
    <definedName name="DF17_Tot_60D_I_RUR">#REF!</definedName>
    <definedName name="DF17_Tot_60D_I_USD">#REF!</definedName>
    <definedName name="DF17_Tot_90D_Am_AMD">#REF!</definedName>
    <definedName name="DF17_Tot_90D_Am_EUR">#REF!</definedName>
    <definedName name="DF17_Tot_90D_Am_OthC">#REF!</definedName>
    <definedName name="DF17_Tot_90D_Am_RUR">#REF!</definedName>
    <definedName name="DF17_Tot_90D_Am_USD">#REF!</definedName>
    <definedName name="DF17_Tot_90D_I_AMD">#REF!</definedName>
    <definedName name="DF17_Tot_90D_I_EUR">#REF!</definedName>
    <definedName name="DF17_Tot_90D_I_OthC">#REF!</definedName>
    <definedName name="DF17_Tot_90D_I_RUR">#REF!</definedName>
    <definedName name="DF17_Tot_90D_I_USD">#REF!</definedName>
    <definedName name="DF17_Tot_Dem_Am_AMD">#REF!</definedName>
    <definedName name="DF17_Tot_Dem_Am_EUR">#REF!</definedName>
    <definedName name="DF17_Tot_Dem_Am_OthC">#REF!</definedName>
    <definedName name="DF17_Tot_Dem_Am_RUR">#REF!</definedName>
    <definedName name="DF17_Tot_Dem_Am_USD">#REF!</definedName>
    <definedName name="DF17_Tot_Dem_I_AMD">#REF!</definedName>
    <definedName name="DF17_Tot_Dem_I_EUR">#REF!</definedName>
    <definedName name="DF17_Tot_Dem_I_OthC">#REF!</definedName>
    <definedName name="DF17_Tot_Dem_I_RUR">#REF!</definedName>
    <definedName name="DF17_Tot_Dem_I_USD">#REF!</definedName>
    <definedName name="DF17_Tot_Mr360D_Am_AMD">#REF!</definedName>
    <definedName name="DF17_Tot_Mr360D_Am_EUR">#REF!</definedName>
    <definedName name="DF17_Tot_Mr360D_Am_OthC">#REF!</definedName>
    <definedName name="DF17_Tot_Mr360D_Am_RUR">#REF!</definedName>
    <definedName name="DF17_Tot_Mr360D_Am_USD">#REF!</definedName>
    <definedName name="DF17_Tot_Mr360D_I_AMD">#REF!</definedName>
    <definedName name="DF17_Tot_Mr360D_I_EUR">#REF!</definedName>
    <definedName name="DF17_Tot_Mr360D_I_OthC">#REF!</definedName>
    <definedName name="DF17_Tot_Mr360D_I_RUR">#REF!</definedName>
    <definedName name="DF17_Tot_Mr360D_I_USD">#REF!</definedName>
    <definedName name="f">#REF!</definedName>
    <definedName name="F17_Alloc_ABnk_15D_Am_AMD">#REF!</definedName>
    <definedName name="F17_Alloc_ABnk_15D_Am_EUR">#REF!</definedName>
    <definedName name="F17_Alloc_ABnk_15D_Am_OthC">#REF!</definedName>
    <definedName name="F17_Alloc_ABnk_15D_Am_RUR">#REF!</definedName>
    <definedName name="F17_Alloc_ABnk_15D_Am_USD">#REF!</definedName>
    <definedName name="F17_Alloc_ABnk_15D_I_AMD">#REF!</definedName>
    <definedName name="F17_Alloc_ABnk_15D_I_EUR">#REF!</definedName>
    <definedName name="F17_Alloc_ABnk_15D_I_OthC">#REF!</definedName>
    <definedName name="F17_Alloc_ABnk_15D_I_RUR">#REF!</definedName>
    <definedName name="F17_Alloc_ABnk_15D_I_USD">#REF!</definedName>
    <definedName name="F17_Alloc_ABnk_180D_Am_AMD">#REF!</definedName>
    <definedName name="F17_Alloc_ABnk_180D_Am_EUR">#REF!</definedName>
    <definedName name="F17_Alloc_ABnk_180D_Am_OthC">#REF!</definedName>
    <definedName name="F17_Alloc_ABnk_180D_Am_RUR">#REF!</definedName>
    <definedName name="F17_Alloc_ABnk_180D_Am_USD">#REF!</definedName>
    <definedName name="F17_Alloc_ABnk_180D_I_AMD">#REF!</definedName>
    <definedName name="F17_Alloc_ABnk_180D_I_EUR">#REF!</definedName>
    <definedName name="F17_Alloc_ABnk_180D_I_OthC">#REF!</definedName>
    <definedName name="F17_Alloc_ABnk_180D_I_RUR">#REF!</definedName>
    <definedName name="F17_Alloc_ABnk_180D_I_USD">#REF!</definedName>
    <definedName name="F17_Alloc_ABnk_30D_Am_AMD">#REF!</definedName>
    <definedName name="F17_Alloc_ABnk_30D_Am_EUR">#REF!</definedName>
    <definedName name="F17_Alloc_ABnk_30D_Am_OthC">#REF!</definedName>
    <definedName name="F17_Alloc_ABnk_30D_Am_RUR">#REF!</definedName>
    <definedName name="F17_Alloc_ABnk_30D_Am_USD">#REF!</definedName>
    <definedName name="F17_Alloc_ABnk_30D_I_AMD">#REF!</definedName>
    <definedName name="F17_Alloc_ABnk_30D_I_EUR">#REF!</definedName>
    <definedName name="F17_Alloc_ABnk_30D_I_OthC">#REF!</definedName>
    <definedName name="F17_Alloc_ABnk_30D_I_RUR">#REF!</definedName>
    <definedName name="F17_Alloc_ABnk_30D_I_USD">#REF!</definedName>
    <definedName name="F17_Alloc_ABnk_360D_Am_AMD">#REF!</definedName>
    <definedName name="F17_Alloc_ABnk_360D_Am_EUR">#REF!</definedName>
    <definedName name="F17_Alloc_ABnk_360D_Am_OthC">#REF!</definedName>
    <definedName name="F17_Alloc_ABnk_360D_Am_RUR">#REF!</definedName>
    <definedName name="F17_Alloc_ABnk_360D_Am_USD">#REF!</definedName>
    <definedName name="F17_Alloc_ABnk_360D_I_AMD">#REF!</definedName>
    <definedName name="F17_Alloc_ABnk_360D_I_EUR">#REF!</definedName>
    <definedName name="F17_Alloc_ABnk_360D_I_OthC">#REF!</definedName>
    <definedName name="F17_Alloc_ABnk_360D_I_RUR">#REF!</definedName>
    <definedName name="F17_Alloc_ABnk_360D_I_USD">#REF!</definedName>
    <definedName name="F17_Alloc_ABnk_60D_Am_AMD">#REF!</definedName>
    <definedName name="F17_Alloc_ABnk_60D_Am_EUR">#REF!</definedName>
    <definedName name="F17_Alloc_ABnk_60D_Am_OthC">#REF!</definedName>
    <definedName name="F17_Alloc_ABnk_60D_Am_RUR">#REF!</definedName>
    <definedName name="F17_Alloc_ABnk_60D_Am_USD">#REF!</definedName>
    <definedName name="F17_Alloc_ABnk_60D_I_AMD">#REF!</definedName>
    <definedName name="F17_Alloc_ABnk_60D_I_EUR">#REF!</definedName>
    <definedName name="F17_Alloc_ABnk_60D_I_OthC">#REF!</definedName>
    <definedName name="F17_Alloc_ABnk_60D_I_RUR">#REF!</definedName>
    <definedName name="F17_Alloc_ABnk_60D_I_USD">#REF!</definedName>
    <definedName name="F17_Alloc_ABnk_90D_Am_AMD">#REF!</definedName>
    <definedName name="F17_Alloc_ABnk_90D_Am_EUR">#REF!</definedName>
    <definedName name="F17_Alloc_ABnk_90D_Am_OthC">#REF!</definedName>
    <definedName name="F17_Alloc_ABnk_90D_Am_RUR">#REF!</definedName>
    <definedName name="F17_Alloc_ABnk_90D_Am_USD">#REF!</definedName>
    <definedName name="F17_Alloc_ABnk_90D_I_AMD">#REF!</definedName>
    <definedName name="F17_Alloc_ABnk_90D_I_EUR">#REF!</definedName>
    <definedName name="F17_Alloc_ABnk_90D_I_OthC">#REF!</definedName>
    <definedName name="F17_Alloc_ABnk_90D_I_RUR">#REF!</definedName>
    <definedName name="F17_Alloc_ABnk_90D_I_USD">#REF!</definedName>
    <definedName name="F17_Alloc_ABnk_Dem_Am_AMD">#REF!</definedName>
    <definedName name="F17_Alloc_ABnk_Dem_Am_EUR">#REF!</definedName>
    <definedName name="F17_Alloc_ABnk_Dem_Am_OthC">#REF!</definedName>
    <definedName name="F17_Alloc_ABnk_Dem_Am_RUR">#REF!</definedName>
    <definedName name="F17_Alloc_ABnk_Dem_Am_USD">#REF!</definedName>
    <definedName name="F17_Alloc_ABnk_Dem_I_AMD">#REF!</definedName>
    <definedName name="F17_Alloc_ABnk_Dem_I_EUR">#REF!</definedName>
    <definedName name="F17_Alloc_ABnk_Dem_I_OthC">#REF!</definedName>
    <definedName name="F17_Alloc_ABnk_Dem_I_RUR">#REF!</definedName>
    <definedName name="F17_Alloc_ABnk_Dem_I_USD">#REF!</definedName>
    <definedName name="F17_Alloc_ABnk_Mr360D_Am_AMD">#REF!</definedName>
    <definedName name="F17_Alloc_ABnk_Mr360D_Am_EUR">#REF!</definedName>
    <definedName name="F17_Alloc_ABnk_Mr360D_Am_OthC">#REF!</definedName>
    <definedName name="F17_Alloc_ABnk_Mr360D_Am_RUR">#REF!</definedName>
    <definedName name="F17_Alloc_ABnk_Mr360D_Am_USD">#REF!</definedName>
    <definedName name="F17_Alloc_ABnk_Mr360D_I_AMD">#REF!</definedName>
    <definedName name="F17_Alloc_ABnk_Mr360D_I_EUR">#REF!</definedName>
    <definedName name="F17_Alloc_ABnk_Mr360D_I_OthC">#REF!</definedName>
    <definedName name="F17_Alloc_ABnk_Mr360D_I_RUR">#REF!</definedName>
    <definedName name="F17_Alloc_ABnk_Mr360D_I_USD">#REF!</definedName>
    <definedName name="F17_Alloc_ABnk_Tot_Am_AMD1">#REF!</definedName>
    <definedName name="F17_Alloc_ABnk_Tot_Am_EUR1">#REF!</definedName>
    <definedName name="F17_Alloc_ABnk_Tot_Am_OthC1">#REF!</definedName>
    <definedName name="F17_Alloc_ABnk_Tot_Am_RUR1">#REF!</definedName>
    <definedName name="F17_Alloc_ABnk_Tot_Am_USD1">#REF!</definedName>
    <definedName name="F17_Alloc_ABnk_Tot_I_AMD11">#REF!</definedName>
    <definedName name="F17_Alloc_ABnk_Tot_I_AMD12">#REF!</definedName>
    <definedName name="F17_Alloc_ABnk_Tot_I_EUR11">#REF!</definedName>
    <definedName name="F17_Alloc_ABnk_Tot_I_EUR12">#REF!</definedName>
    <definedName name="F17_Alloc_ABnk_Tot_I_OthC11">#REF!</definedName>
    <definedName name="F17_Alloc_ABnk_Tot_I_OthC12">#REF!</definedName>
    <definedName name="F17_Alloc_ABnk_Tot_I_RUR11">#REF!</definedName>
    <definedName name="F17_Alloc_ABnk_Tot_I_RUR12">#REF!</definedName>
    <definedName name="F17_Alloc_ABnk_Tot_I_USD11">#REF!</definedName>
    <definedName name="F17_Alloc_ABnk_Tot_I_USD12">#REF!</definedName>
    <definedName name="F17_Alloc_Bus_15D_Am_AMD">#REF!</definedName>
    <definedName name="F17_Alloc_Bus_15D_Am_EUR">#REF!</definedName>
    <definedName name="F17_Alloc_Bus_15D_Am_OthC">#REF!</definedName>
    <definedName name="F17_Alloc_Bus_15D_Am_RUR">#REF!</definedName>
    <definedName name="F17_Alloc_Bus_15D_Am_USD">#REF!</definedName>
    <definedName name="F17_Alloc_Bus_15D_I_AMD">#REF!</definedName>
    <definedName name="F17_Alloc_Bus_15D_I_EUR">#REF!</definedName>
    <definedName name="F17_Alloc_Bus_15D_I_OthC">#REF!</definedName>
    <definedName name="F17_Alloc_Bus_15D_I_RUR">#REF!</definedName>
    <definedName name="F17_Alloc_Bus_15D_I_USD">#REF!</definedName>
    <definedName name="F17_Alloc_Bus_180D_Am_AMD">#REF!</definedName>
    <definedName name="F17_Alloc_Bus_180D_Am_EUR">#REF!</definedName>
    <definedName name="F17_Alloc_Bus_180D_Am_OthC">#REF!</definedName>
    <definedName name="F17_Alloc_Bus_180D_Am_RUR">#REF!</definedName>
    <definedName name="F17_Alloc_Bus_180D_Am_USD">#REF!</definedName>
    <definedName name="F17_Alloc_Bus_180D_I_AMD">#REF!</definedName>
    <definedName name="F17_Alloc_Bus_180D_I_EUR">#REF!</definedName>
    <definedName name="F17_Alloc_Bus_180D_I_OthC">#REF!</definedName>
    <definedName name="F17_Alloc_Bus_180D_I_RUR">#REF!</definedName>
    <definedName name="F17_Alloc_Bus_180D_I_USD">#REF!</definedName>
    <definedName name="F17_Alloc_Bus_30D_Am_AMD">#REF!</definedName>
    <definedName name="F17_Alloc_Bus_30D_Am_EUR">#REF!</definedName>
    <definedName name="F17_Alloc_Bus_30D_Am_OthC">#REF!</definedName>
    <definedName name="F17_Alloc_Bus_30D_Am_RUR">#REF!</definedName>
    <definedName name="F17_Alloc_Bus_30D_Am_USD">#REF!</definedName>
    <definedName name="F17_Alloc_Bus_30D_I_AMD">#REF!</definedName>
    <definedName name="F17_Alloc_Bus_30D_I_EUR">#REF!</definedName>
    <definedName name="F17_Alloc_Bus_30D_I_OthC">#REF!</definedName>
    <definedName name="F17_Alloc_Bus_30D_I_RUR">#REF!</definedName>
    <definedName name="F17_Alloc_Bus_30D_I_USD">#REF!</definedName>
    <definedName name="F17_Alloc_Bus_360D_Am_AMD">#REF!</definedName>
    <definedName name="F17_Alloc_Bus_360D_Am_EUR">#REF!</definedName>
    <definedName name="F17_Alloc_Bus_360D_Am_OthC">#REF!</definedName>
    <definedName name="F17_Alloc_Bus_360D_Am_RUR">#REF!</definedName>
    <definedName name="F17_Alloc_Bus_360D_Am_USD" localSheetId="5">[1]Sheet2!#REF!</definedName>
    <definedName name="F17_Alloc_Bus_360D_Am_USD" localSheetId="4">[1]Sheet2!#REF!</definedName>
    <definedName name="F17_Alloc_Bus_360D_Am_USD" localSheetId="2">[1]Sheet2!#REF!</definedName>
    <definedName name="F17_Alloc_Bus_360D_Am_USD" localSheetId="3">[1]Sheet2!#REF!</definedName>
    <definedName name="F17_Alloc_Bus_360D_Am_USD">[1]Sheet2!#REF!</definedName>
    <definedName name="F17_Alloc_Bus_360D_I_AMD" localSheetId="5">#REF!</definedName>
    <definedName name="F17_Alloc_Bus_360D_I_AMD" localSheetId="4">#REF!</definedName>
    <definedName name="F17_Alloc_Bus_360D_I_AMD" localSheetId="2">#REF!</definedName>
    <definedName name="F17_Alloc_Bus_360D_I_AMD" localSheetId="3">#REF!</definedName>
    <definedName name="F17_Alloc_Bus_360D_I_AMD">#REF!</definedName>
    <definedName name="F17_Alloc_Bus_360D_I_EUR" localSheetId="2">#REF!</definedName>
    <definedName name="F17_Alloc_Bus_360D_I_EUR">#REF!</definedName>
    <definedName name="F17_Alloc_Bus_360D_I_OthC" localSheetId="2">#REF!</definedName>
    <definedName name="F17_Alloc_Bus_360D_I_OthC">#REF!</definedName>
    <definedName name="F17_Alloc_Bus_360D_I_RUR">#REF!</definedName>
    <definedName name="F17_Alloc_Bus_360D_I_USD" localSheetId="5">[1]Sheet2!#REF!</definedName>
    <definedName name="F17_Alloc_Bus_360D_I_USD" localSheetId="4">[1]Sheet2!#REF!</definedName>
    <definedName name="F17_Alloc_Bus_360D_I_USD" localSheetId="2">[1]Sheet2!#REF!</definedName>
    <definedName name="F17_Alloc_Bus_360D_I_USD" localSheetId="3">[1]Sheet2!#REF!</definedName>
    <definedName name="F17_Alloc_Bus_360D_I_USD">[1]Sheet2!#REF!</definedName>
    <definedName name="F17_Alloc_Bus_60D_Am_AMD" localSheetId="5">#REF!</definedName>
    <definedName name="F17_Alloc_Bus_60D_Am_AMD" localSheetId="4">#REF!</definedName>
    <definedName name="F17_Alloc_Bus_60D_Am_AMD" localSheetId="2">#REF!</definedName>
    <definedName name="F17_Alloc_Bus_60D_Am_AMD" localSheetId="3">#REF!</definedName>
    <definedName name="F17_Alloc_Bus_60D_Am_AMD">#REF!</definedName>
    <definedName name="F17_Alloc_Bus_60D_Am_EUR" localSheetId="2">#REF!</definedName>
    <definedName name="F17_Alloc_Bus_60D_Am_EUR">#REF!</definedName>
    <definedName name="F17_Alloc_Bus_60D_Am_OthC" localSheetId="2">#REF!</definedName>
    <definedName name="F17_Alloc_Bus_60D_Am_OthC">#REF!</definedName>
    <definedName name="F17_Alloc_Bus_60D_Am_RUR">#REF!</definedName>
    <definedName name="F17_Alloc_Bus_60D_Am_USD">#REF!</definedName>
    <definedName name="F17_Alloc_Bus_60D_I_AMD">#REF!</definedName>
    <definedName name="F17_Alloc_Bus_60D_I_EUR">#REF!</definedName>
    <definedName name="F17_Alloc_Bus_60D_I_OthC">#REF!</definedName>
    <definedName name="F17_Alloc_Bus_60D_I_RUR">#REF!</definedName>
    <definedName name="F17_Alloc_Bus_60D_I_USD">#REF!</definedName>
    <definedName name="F17_Alloc_Bus_90D_Am_AMD">#REF!</definedName>
    <definedName name="F17_Alloc_Bus_90D_Am_EUR">#REF!</definedName>
    <definedName name="F17_Alloc_Bus_90D_Am_OthC">#REF!</definedName>
    <definedName name="F17_Alloc_Bus_90D_Am_RUR">#REF!</definedName>
    <definedName name="F17_Alloc_Bus_90D_Am_USD">#REF!</definedName>
    <definedName name="F17_Alloc_Bus_90D_I_AMD">#REF!</definedName>
    <definedName name="F17_Alloc_Bus_90D_I_EUR">#REF!</definedName>
    <definedName name="F17_Alloc_Bus_90D_I_OthC">#REF!</definedName>
    <definedName name="F17_Alloc_Bus_90D_I_RUR">#REF!</definedName>
    <definedName name="F17_Alloc_Bus_90D_I_USD">#REF!</definedName>
    <definedName name="F17_Alloc_Bus_Dem_Am_AMD">#REF!</definedName>
    <definedName name="F17_Alloc_Bus_Dem_Am_EUR">#REF!</definedName>
    <definedName name="F17_Alloc_Bus_Dem_Am_OthC">#REF!</definedName>
    <definedName name="F17_Alloc_Bus_Dem_Am_RUR">#REF!</definedName>
    <definedName name="F17_Alloc_Bus_Dem_Am_USD">#REF!</definedName>
    <definedName name="F17_Alloc_Bus_Dem_I_AMD">#REF!</definedName>
    <definedName name="F17_Alloc_Bus_Dem_I_EUR">#REF!</definedName>
    <definedName name="F17_Alloc_Bus_Dem_I_OthC">#REF!</definedName>
    <definedName name="F17_Alloc_Bus_Dem_I_RUR">#REF!</definedName>
    <definedName name="F17_Alloc_Bus_Dem_I_USD">#REF!</definedName>
    <definedName name="F17_Alloc_Bus_Mr360D_Am_AMD">#REF!</definedName>
    <definedName name="F17_Alloc_Bus_Mr360D_Am_EUR">#REF!</definedName>
    <definedName name="F17_Alloc_Bus_Mr360D_Am_OthC">#REF!</definedName>
    <definedName name="F17_Alloc_Bus_Mr360D_Am_RUR">#REF!</definedName>
    <definedName name="F17_Alloc_Bus_Mr360D_Am_USD">#REF!</definedName>
    <definedName name="F17_Alloc_Bus_Mr360D_I_AMD">#REF!</definedName>
    <definedName name="F17_Alloc_Bus_Mr360D_I_EUR">#REF!</definedName>
    <definedName name="F17_Alloc_Bus_Mr360D_I_OthC">#REF!</definedName>
    <definedName name="F17_Alloc_Bus_Mr360D_I_RUR">#REF!</definedName>
    <definedName name="F17_Alloc_Bus_Mr360D_I_USD">#REF!</definedName>
    <definedName name="F17_Alloc_Bus_Tot_Am_AMD1">#REF!</definedName>
    <definedName name="F17_Alloc_Bus_Tot_Am_EUR1">#REF!</definedName>
    <definedName name="F17_Alloc_Bus_Tot_Am_OthC1">#REF!</definedName>
    <definedName name="F17_Alloc_Bus_Tot_Am_RUR1">#REF!</definedName>
    <definedName name="F17_Alloc_Bus_Tot_Am_USD1">#REF!</definedName>
    <definedName name="F17_Alloc_Bus_Tot_I_AMD11">#REF!</definedName>
    <definedName name="F17_Alloc_Bus_Tot_I_AMD12">#REF!</definedName>
    <definedName name="F17_Alloc_Bus_Tot_I_EUR11">#REF!</definedName>
    <definedName name="F17_Alloc_Bus_Tot_I_EUR12">#REF!</definedName>
    <definedName name="F17_Alloc_Bus_Tot_I_OthC11">#REF!</definedName>
    <definedName name="F17_Alloc_Bus_Tot_I_OthC12">#REF!</definedName>
    <definedName name="F17_Alloc_Bus_Tot_I_RUR11">#REF!</definedName>
    <definedName name="F17_Alloc_Bus_Tot_I_RUR12">#REF!</definedName>
    <definedName name="F17_Alloc_Bus_Tot_I_USD11">#REF!</definedName>
    <definedName name="F17_Alloc_Bus_Tot_I_USD12">#REF!</definedName>
    <definedName name="F17_Alloc_GovG_15D_Am_AMD">#REF!</definedName>
    <definedName name="F17_Alloc_GovG_15D_Am_EUR">#REF!</definedName>
    <definedName name="F17_Alloc_GovG_15D_Am_OthC">#REF!</definedName>
    <definedName name="F17_Alloc_GovG_15D_Am_RUR">#REF!</definedName>
    <definedName name="F17_Alloc_GovG_15D_Am_USD">#REF!</definedName>
    <definedName name="F17_Alloc_GovG_15D_I_AMD">#REF!</definedName>
    <definedName name="F17_Alloc_GovG_15D_I_EUR">#REF!</definedName>
    <definedName name="F17_Alloc_GovG_15D_I_OthC">#REF!</definedName>
    <definedName name="F17_Alloc_GovG_15D_I_RUR">#REF!</definedName>
    <definedName name="F17_Alloc_GovG_15D_I_USD">#REF!</definedName>
    <definedName name="F17_Alloc_GovG_180D_Am_AMD">#REF!</definedName>
    <definedName name="F17_Alloc_GovG_180D_Am_EUR">#REF!</definedName>
    <definedName name="F17_Alloc_GovG_180D_Am_OthC">#REF!</definedName>
    <definedName name="F17_Alloc_GovG_180D_Am_RUR">#REF!</definedName>
    <definedName name="F17_Alloc_GovG_180D_Am_USD">#REF!</definedName>
    <definedName name="F17_Alloc_GovG_180D_I_AMD">#REF!</definedName>
    <definedName name="F17_Alloc_GovG_180D_I_EUR">#REF!</definedName>
    <definedName name="F17_Alloc_GovG_180D_I_OthC">#REF!</definedName>
    <definedName name="F17_Alloc_GovG_180D_I_RUR">#REF!</definedName>
    <definedName name="F17_Alloc_GovG_180D_I_USD">#REF!</definedName>
    <definedName name="F17_Alloc_GovG_30D_Am_AMD">#REF!</definedName>
    <definedName name="F17_Alloc_GovG_30D_Am_EUR">#REF!</definedName>
    <definedName name="F17_Alloc_GovG_30D_Am_OthC">#REF!</definedName>
    <definedName name="F17_Alloc_GovG_30D_Am_RUR">#REF!</definedName>
    <definedName name="F17_Alloc_GovG_30D_Am_USD">#REF!</definedName>
    <definedName name="F17_Alloc_GovG_30D_I_AMD">#REF!</definedName>
    <definedName name="F17_Alloc_GovG_30D_I_EUR">#REF!</definedName>
    <definedName name="F17_Alloc_GovG_30D_I_OthC">#REF!</definedName>
    <definedName name="F17_Alloc_GovG_30D_I_RUR">#REF!</definedName>
    <definedName name="F17_Alloc_GovG_30D_I_USD">#REF!</definedName>
    <definedName name="F17_Alloc_GovG_360D_Am_AMD">#REF!</definedName>
    <definedName name="F17_Alloc_GovG_360D_Am_EUR">#REF!</definedName>
    <definedName name="F17_Alloc_GovG_360D_Am_OthC">#REF!</definedName>
    <definedName name="F17_Alloc_GovG_360D_Am_RUR">#REF!</definedName>
    <definedName name="F17_Alloc_GovG_360D_Am_USD">#REF!</definedName>
    <definedName name="F17_Alloc_GovG_360D_I_AMD">#REF!</definedName>
    <definedName name="F17_Alloc_GovG_360D_I_EUR">#REF!</definedName>
    <definedName name="F17_Alloc_GovG_360D_I_OthC">#REF!</definedName>
    <definedName name="F17_Alloc_GovG_360D_I_RUR">#REF!</definedName>
    <definedName name="F17_Alloc_GovG_360D_I_USD">#REF!</definedName>
    <definedName name="F17_Alloc_GovG_60D_Am_AMD">#REF!</definedName>
    <definedName name="F17_Alloc_GovG_60D_Am_EUR">#REF!</definedName>
    <definedName name="F17_Alloc_GovG_60D_Am_OthC">#REF!</definedName>
    <definedName name="F17_Alloc_GovG_60D_Am_RUR">#REF!</definedName>
    <definedName name="F17_Alloc_GovG_60D_Am_USD">#REF!</definedName>
    <definedName name="F17_Alloc_GovG_60D_I_AMD">#REF!</definedName>
    <definedName name="F17_Alloc_GovG_60D_I_EUR">#REF!</definedName>
    <definedName name="F17_Alloc_GovG_60D_I_OthC">#REF!</definedName>
    <definedName name="F17_Alloc_GovG_60D_I_RUR">#REF!</definedName>
    <definedName name="F17_Alloc_GovG_60D_I_USD">#REF!</definedName>
    <definedName name="F17_Alloc_GovG_90D_Am_AMD">#REF!</definedName>
    <definedName name="F17_Alloc_GovG_90D_Am_EUR">#REF!</definedName>
    <definedName name="F17_Alloc_GovG_90D_Am_OthC">#REF!</definedName>
    <definedName name="F17_Alloc_GovG_90D_Am_RUR">#REF!</definedName>
    <definedName name="F17_Alloc_GovG_90D_Am_USD">#REF!</definedName>
    <definedName name="F17_Alloc_GovG_90D_I_AMD">#REF!</definedName>
    <definedName name="F17_Alloc_GovG_90D_I_EUR">#REF!</definedName>
    <definedName name="F17_Alloc_GovG_90D_I_OthC">#REF!</definedName>
    <definedName name="F17_Alloc_GovG_90D_I_RUR">#REF!</definedName>
    <definedName name="F17_Alloc_GovG_90D_I_USD">#REF!</definedName>
    <definedName name="F17_Alloc_GovG_Dem_Am_AMD">#REF!</definedName>
    <definedName name="F17_Alloc_GovG_Dem_Am_EUR">#REF!</definedName>
    <definedName name="F17_Alloc_GovG_Dem_Am_OthC">#REF!</definedName>
    <definedName name="F17_Alloc_GovG_Dem_Am_RUR">#REF!</definedName>
    <definedName name="F17_Alloc_GovG_Dem_Am_USD">#REF!</definedName>
    <definedName name="F17_Alloc_GovG_Dem_I_AMD">#REF!</definedName>
    <definedName name="F17_Alloc_GovG_Dem_I_EUR">#REF!</definedName>
    <definedName name="F17_Alloc_GovG_Dem_I_OthC">#REF!</definedName>
    <definedName name="F17_Alloc_GovG_Dem_I_RUR">#REF!</definedName>
    <definedName name="F17_Alloc_GovG_Dem_I_USD">#REF!</definedName>
    <definedName name="F17_Alloc_GovG_Mr360D_Am_AMD">#REF!</definedName>
    <definedName name="F17_Alloc_GovG_Mr360D_Am_EUR">#REF!</definedName>
    <definedName name="F17_Alloc_GovG_Mr360D_Am_OthC">#REF!</definedName>
    <definedName name="F17_Alloc_GovG_Mr360D_Am_RUR">#REF!</definedName>
    <definedName name="F17_Alloc_GovG_Mr360D_Am_USD">#REF!</definedName>
    <definedName name="F17_Alloc_GovG_Mr360D_I_AMD">#REF!</definedName>
    <definedName name="F17_Alloc_GovG_Mr360D_I_EUR">#REF!</definedName>
    <definedName name="F17_Alloc_GovG_Mr360D_I_OthC">#REF!</definedName>
    <definedName name="F17_Alloc_GovG_Mr360D_I_RUR">#REF!</definedName>
    <definedName name="F17_Alloc_GovG_Mr360D_I_USD">#REF!</definedName>
    <definedName name="F17_Alloc_GovG_Tot_Am_AMD1">#REF!</definedName>
    <definedName name="F17_Alloc_GovG_Tot_Am_EUR1">#REF!</definedName>
    <definedName name="F17_Alloc_GovG_Tot_Am_OthC1">#REF!</definedName>
    <definedName name="F17_Alloc_GovG_Tot_Am_RUR1">#REF!</definedName>
    <definedName name="F17_Alloc_GovG_Tot_Am_USD1">#REF!</definedName>
    <definedName name="F17_Alloc_GovG_Tot_I_AMD11">#REF!</definedName>
    <definedName name="F17_Alloc_GovG_Tot_I_AMD12">#REF!</definedName>
    <definedName name="F17_Alloc_GovG_Tot_I_EUR11">#REF!</definedName>
    <definedName name="F17_Alloc_GovG_Tot_I_EUR12">#REF!</definedName>
    <definedName name="F17_Alloc_GovG_Tot_I_OthC11">#REF!</definedName>
    <definedName name="F17_Alloc_GovG_Tot_I_OthC12">#REF!</definedName>
    <definedName name="F17_Alloc_GovG_Tot_I_RUR11">#REF!</definedName>
    <definedName name="F17_Alloc_GovG_Tot_I_RUR12">#REF!</definedName>
    <definedName name="F17_Alloc_GovG_Tot_I_USD11">#REF!</definedName>
    <definedName name="F17_Alloc_GovG_Tot_I_USD12">#REF!</definedName>
    <definedName name="F17_Alloc_Ind_15D_Am_AMD">#REF!</definedName>
    <definedName name="F17_Alloc_Ind_15D_Am_EUR">#REF!</definedName>
    <definedName name="F17_Alloc_Ind_15D_Am_OthC">#REF!</definedName>
    <definedName name="F17_Alloc_Ind_15D_Am_RUR">#REF!</definedName>
    <definedName name="F17_Alloc_Ind_15D_Am_USD">#REF!</definedName>
    <definedName name="F17_Alloc_Ind_15D_I_AMD">#REF!</definedName>
    <definedName name="F17_Alloc_Ind_15D_I_EUR">#REF!</definedName>
    <definedName name="F17_Alloc_Ind_15D_I_OthC">#REF!</definedName>
    <definedName name="F17_Alloc_Ind_15D_I_RUR">#REF!</definedName>
    <definedName name="F17_Alloc_Ind_15D_I_USD">#REF!</definedName>
    <definedName name="F17_Alloc_Ind_180D_Am_AMD" localSheetId="5">[2]Sheet2!#REF!</definedName>
    <definedName name="F17_Alloc_Ind_180D_Am_AMD" localSheetId="4">[2]Sheet2!#REF!</definedName>
    <definedName name="F17_Alloc_Ind_180D_Am_AMD" localSheetId="2">[2]Sheet2!#REF!</definedName>
    <definedName name="F17_Alloc_Ind_180D_Am_AMD" localSheetId="3">[2]Sheet2!#REF!</definedName>
    <definedName name="F17_Alloc_Ind_180D_Am_AMD">[2]Sheet2!#REF!</definedName>
    <definedName name="F17_Alloc_Ind_180D_Am_EUR" localSheetId="5">#REF!</definedName>
    <definedName name="F17_Alloc_Ind_180D_Am_EUR" localSheetId="4">#REF!</definedName>
    <definedName name="F17_Alloc_Ind_180D_Am_EUR" localSheetId="2">#REF!</definedName>
    <definedName name="F17_Alloc_Ind_180D_Am_EUR" localSheetId="3">#REF!</definedName>
    <definedName name="F17_Alloc_Ind_180D_Am_EUR">#REF!</definedName>
    <definedName name="F17_Alloc_Ind_180D_Am_OthC" localSheetId="2">#REF!</definedName>
    <definedName name="F17_Alloc_Ind_180D_Am_OthC">#REF!</definedName>
    <definedName name="F17_Alloc_Ind_180D_Am_RUR" localSheetId="2">#REF!</definedName>
    <definedName name="F17_Alloc_Ind_180D_Am_RUR">#REF!</definedName>
    <definedName name="F17_Alloc_Ind_180D_Am_USD">#REF!</definedName>
    <definedName name="F17_Alloc_Ind_180D_I_AMD" localSheetId="5">[2]Sheet2!#REF!</definedName>
    <definedName name="F17_Alloc_Ind_180D_I_AMD" localSheetId="4">[2]Sheet2!#REF!</definedName>
    <definedName name="F17_Alloc_Ind_180D_I_AMD" localSheetId="2">[2]Sheet2!#REF!</definedName>
    <definedName name="F17_Alloc_Ind_180D_I_AMD" localSheetId="3">[2]Sheet2!#REF!</definedName>
    <definedName name="F17_Alloc_Ind_180D_I_AMD">[2]Sheet2!#REF!</definedName>
    <definedName name="F17_Alloc_Ind_180D_I_EUR" localSheetId="5">#REF!</definedName>
    <definedName name="F17_Alloc_Ind_180D_I_EUR" localSheetId="4">#REF!</definedName>
    <definedName name="F17_Alloc_Ind_180D_I_EUR" localSheetId="2">#REF!</definedName>
    <definedName name="F17_Alloc_Ind_180D_I_EUR" localSheetId="3">#REF!</definedName>
    <definedName name="F17_Alloc_Ind_180D_I_EUR">#REF!</definedName>
    <definedName name="F17_Alloc_Ind_180D_I_OthC" localSheetId="2">#REF!</definedName>
    <definedName name="F17_Alloc_Ind_180D_I_OthC">#REF!</definedName>
    <definedName name="F17_Alloc_Ind_180D_I_RUR" localSheetId="2">#REF!</definedName>
    <definedName name="F17_Alloc_Ind_180D_I_RUR">#REF!</definedName>
    <definedName name="F17_Alloc_Ind_180D_I_USD">#REF!</definedName>
    <definedName name="F17_Alloc_Ind_30D_Am_AMD">#REF!</definedName>
    <definedName name="F17_Alloc_Ind_30D_Am_EUR">#REF!</definedName>
    <definedName name="F17_Alloc_Ind_30D_Am_OthC">#REF!</definedName>
    <definedName name="F17_Alloc_Ind_30D_Am_RUR">#REF!</definedName>
    <definedName name="F17_Alloc_Ind_30D_Am_USD" localSheetId="5">[2]Sheet2!#REF!</definedName>
    <definedName name="F17_Alloc_Ind_30D_Am_USD" localSheetId="4">[2]Sheet2!#REF!</definedName>
    <definedName name="F17_Alloc_Ind_30D_Am_USD" localSheetId="2">[2]Sheet2!#REF!</definedName>
    <definedName name="F17_Alloc_Ind_30D_Am_USD" localSheetId="3">[2]Sheet2!#REF!</definedName>
    <definedName name="F17_Alloc_Ind_30D_Am_USD">[2]Sheet2!#REF!</definedName>
    <definedName name="F17_Alloc_Ind_30D_I_AMD" localSheetId="5">#REF!</definedName>
    <definedName name="F17_Alloc_Ind_30D_I_AMD" localSheetId="4">#REF!</definedName>
    <definedName name="F17_Alloc_Ind_30D_I_AMD" localSheetId="2">#REF!</definedName>
    <definedName name="F17_Alloc_Ind_30D_I_AMD" localSheetId="3">#REF!</definedName>
    <definedName name="F17_Alloc_Ind_30D_I_AMD">#REF!</definedName>
    <definedName name="F17_Alloc_Ind_30D_I_EUR" localSheetId="2">#REF!</definedName>
    <definedName name="F17_Alloc_Ind_30D_I_EUR">#REF!</definedName>
    <definedName name="F17_Alloc_Ind_30D_I_OthC" localSheetId="2">#REF!</definedName>
    <definedName name="F17_Alloc_Ind_30D_I_OthC">#REF!</definedName>
    <definedName name="F17_Alloc_Ind_30D_I_RUR">#REF!</definedName>
    <definedName name="F17_Alloc_Ind_30D_I_USD" localSheetId="5">[2]Sheet2!#REF!</definedName>
    <definedName name="F17_Alloc_Ind_30D_I_USD" localSheetId="4">[2]Sheet2!#REF!</definedName>
    <definedName name="F17_Alloc_Ind_30D_I_USD" localSheetId="2">[2]Sheet2!#REF!</definedName>
    <definedName name="F17_Alloc_Ind_30D_I_USD" localSheetId="3">[2]Sheet2!#REF!</definedName>
    <definedName name="F17_Alloc_Ind_30D_I_USD">[2]Sheet2!#REF!</definedName>
    <definedName name="F17_Alloc_Ind_360D_Am_AMD" localSheetId="5">#REF!</definedName>
    <definedName name="F17_Alloc_Ind_360D_Am_AMD" localSheetId="4">#REF!</definedName>
    <definedName name="F17_Alloc_Ind_360D_Am_AMD" localSheetId="2">#REF!</definedName>
    <definedName name="F17_Alloc_Ind_360D_Am_AMD" localSheetId="3">#REF!</definedName>
    <definedName name="F17_Alloc_Ind_360D_Am_AMD">#REF!</definedName>
    <definedName name="F17_Alloc_Ind_360D_Am_EUR" localSheetId="2">#REF!</definedName>
    <definedName name="F17_Alloc_Ind_360D_Am_EUR">#REF!</definedName>
    <definedName name="F17_Alloc_Ind_360D_Am_OthC" localSheetId="2">#REF!</definedName>
    <definedName name="F17_Alloc_Ind_360D_Am_OthC">#REF!</definedName>
    <definedName name="F17_Alloc_Ind_360D_Am_RUR">#REF!</definedName>
    <definedName name="F17_Alloc_Ind_360D_Am_USD">#REF!</definedName>
    <definedName name="F17_Alloc_Ind_360D_I_AMD">#REF!</definedName>
    <definedName name="F17_Alloc_Ind_360D_I_EUR">#REF!</definedName>
    <definedName name="F17_Alloc_Ind_360D_I_OthC">#REF!</definedName>
    <definedName name="F17_Alloc_Ind_360D_I_RUR">#REF!</definedName>
    <definedName name="F17_Alloc_Ind_360D_I_USD">#REF!</definedName>
    <definedName name="F17_Alloc_Ind_60D_Am_AMD">#REF!</definedName>
    <definedName name="F17_Alloc_Ind_60D_Am_EUR">#REF!</definedName>
    <definedName name="F17_Alloc_Ind_60D_Am_OthC">#REF!</definedName>
    <definedName name="F17_Alloc_Ind_60D_Am_RUR">#REF!</definedName>
    <definedName name="F17_Alloc_Ind_60D_Am_USD">#REF!</definedName>
    <definedName name="F17_Alloc_Ind_60D_I_AMD">#REF!</definedName>
    <definedName name="F17_Alloc_Ind_60D_I_EUR">#REF!</definedName>
    <definedName name="F17_Alloc_Ind_60D_I_OthC">#REF!</definedName>
    <definedName name="F17_Alloc_Ind_60D_I_RUR">#REF!</definedName>
    <definedName name="F17_Alloc_Ind_60D_I_USD">#REF!</definedName>
    <definedName name="F17_Alloc_Ind_90D_Am_AMD">#REF!</definedName>
    <definedName name="F17_Alloc_Ind_90D_Am_EUR">#REF!</definedName>
    <definedName name="F17_Alloc_Ind_90D_Am_OthC">#REF!</definedName>
    <definedName name="F17_Alloc_Ind_90D_Am_RUR">#REF!</definedName>
    <definedName name="F17_Alloc_Ind_90D_Am_USD">#REF!</definedName>
    <definedName name="F17_Alloc_Ind_90D_I_AMD">#REF!</definedName>
    <definedName name="F17_Alloc_Ind_90D_I_EUR">#REF!</definedName>
    <definedName name="F17_Alloc_Ind_90D_I_OthC">#REF!</definedName>
    <definedName name="F17_Alloc_Ind_90D_I_RUR">#REF!</definedName>
    <definedName name="F17_Alloc_Ind_90D_I_USD">#REF!</definedName>
    <definedName name="F17_Alloc_Ind_Dem_Am_AMD">#REF!</definedName>
    <definedName name="F17_Alloc_Ind_Dem_Am_EUR">#REF!</definedName>
    <definedName name="F17_Alloc_Ind_Dem_Am_OthC">#REF!</definedName>
    <definedName name="F17_Alloc_Ind_Dem_Am_RUR">#REF!</definedName>
    <definedName name="F17_Alloc_Ind_Dem_Am_USD">#REF!</definedName>
    <definedName name="F17_Alloc_Ind_Dem_I_AMD">#REF!</definedName>
    <definedName name="F17_Alloc_Ind_Dem_I_EUR">#REF!</definedName>
    <definedName name="F17_Alloc_Ind_Dem_I_OthC">#REF!</definedName>
    <definedName name="F17_Alloc_Ind_Dem_I_RUR">#REF!</definedName>
    <definedName name="F17_Alloc_Ind_Dem_I_USD">#REF!</definedName>
    <definedName name="F17_Alloc_Ind_Mr360D_Am_AMD">#REF!</definedName>
    <definedName name="F17_Alloc_Ind_Mr360D_Am_EUR">#REF!</definedName>
    <definedName name="F17_Alloc_Ind_Mr360D_Am_OthC">#REF!</definedName>
    <definedName name="F17_Alloc_Ind_Mr360D_Am_RUR">#REF!</definedName>
    <definedName name="F17_Alloc_Ind_Mr360D_Am_USD">#REF!</definedName>
    <definedName name="F17_Alloc_Ind_Mr360D_I_AMD">#REF!</definedName>
    <definedName name="F17_Alloc_Ind_Mr360D_I_EUR">#REF!</definedName>
    <definedName name="F17_Alloc_Ind_Mr360D_I_OthC">#REF!</definedName>
    <definedName name="F17_Alloc_Ind_Mr360D_I_RUR">#REF!</definedName>
    <definedName name="F17_Alloc_Ind_Mr360D_I_USD">#REF!</definedName>
    <definedName name="F17_Alloc_Ind_Tot_Am_AMD1">#REF!</definedName>
    <definedName name="F17_Alloc_Ind_Tot_Am_EUR1">#REF!</definedName>
    <definedName name="F17_Alloc_Ind_Tot_Am_OthC1">#REF!</definedName>
    <definedName name="F17_Alloc_Ind_Tot_Am_RUR1">#REF!</definedName>
    <definedName name="F17_Alloc_Ind_Tot_Am_USD1">#REF!</definedName>
    <definedName name="F17_Alloc_Ind_Tot_I_AMD11">#REF!</definedName>
    <definedName name="F17_Alloc_Ind_Tot_I_AMD12">#REF!</definedName>
    <definedName name="F17_Alloc_Ind_Tot_I_EUR11">#REF!</definedName>
    <definedName name="F17_Alloc_Ind_Tot_I_EUR12">#REF!</definedName>
    <definedName name="F17_Alloc_Ind_Tot_I_OthC11">#REF!</definedName>
    <definedName name="F17_Alloc_Ind_Tot_I_OthC12">#REF!</definedName>
    <definedName name="F17_Alloc_Ind_Tot_I_RUR11">#REF!</definedName>
    <definedName name="F17_Alloc_Ind_Tot_I_RUR12">#REF!</definedName>
    <definedName name="F17_Alloc_Ind_Tot_I_USD11">#REF!</definedName>
    <definedName name="F17_Alloc_Ind_Tot_I_USD12">#REF!</definedName>
    <definedName name="F17_Alloc_IndCo_Mr360D_Am_OthC">#REF!</definedName>
    <definedName name="F17_Alloc_IndCo_Mr360D_Am_USD">#REF!</definedName>
    <definedName name="F17_Alloc_IndCo_Mr360D_I_OthC">#REF!</definedName>
    <definedName name="F17_Alloc_IndCor_15D_Am_AMD">#REF!</definedName>
    <definedName name="F17_Alloc_IndCor_15D_Am_EUR">#REF!</definedName>
    <definedName name="F17_Alloc_IndCor_15D_Am_OthC">#REF!</definedName>
    <definedName name="F17_Alloc_IndCor_15D_Am_RUR">#REF!</definedName>
    <definedName name="F17_Alloc_IndCor_15D_Am_USD">#REF!</definedName>
    <definedName name="F17_Alloc_IndCor_15D_I_AMD">#REF!</definedName>
    <definedName name="F17_Alloc_IndCor_15D_I_EUR">#REF!</definedName>
    <definedName name="F17_Alloc_IndCor_15D_I_OthC">#REF!</definedName>
    <definedName name="F17_Alloc_IndCor_15D_I_RUR">#REF!</definedName>
    <definedName name="F17_Alloc_IndCor_15D_I_USD">#REF!</definedName>
    <definedName name="F17_Alloc_IndCor_180D_Am_AMD">#REF!</definedName>
    <definedName name="F17_Alloc_IndCor_180D_Am_EUR">#REF!</definedName>
    <definedName name="F17_Alloc_IndCor_180D_Am_OthC">#REF!</definedName>
    <definedName name="F17_Alloc_IndCor_180D_Am_RUR">#REF!</definedName>
    <definedName name="F17_Alloc_IndCor_180D_Am_USD">#REF!</definedName>
    <definedName name="F17_Alloc_IndCor_180D_I_AMD">#REF!</definedName>
    <definedName name="F17_Alloc_IndCor_180D_I_EUR">#REF!</definedName>
    <definedName name="F17_Alloc_IndCor_180D_I_OthC">#REF!</definedName>
    <definedName name="F17_Alloc_IndCor_180D_I_RUR">#REF!</definedName>
    <definedName name="F17_Alloc_IndCor_180D_I_USD">#REF!</definedName>
    <definedName name="F17_Alloc_IndCor_30D_Am_AMD">#REF!</definedName>
    <definedName name="F17_Alloc_IndCor_30D_Am_EUR">#REF!</definedName>
    <definedName name="F17_Alloc_IndCor_30D_Am_OthC">#REF!</definedName>
    <definedName name="F17_Alloc_IndCor_30D_Am_RUR">#REF!</definedName>
    <definedName name="F17_Alloc_IndCor_30D_Am_USD">#REF!</definedName>
    <definedName name="F17_Alloc_IndCor_30D_I_AMD">#REF!</definedName>
    <definedName name="F17_Alloc_IndCor_30D_I_EUR">#REF!</definedName>
    <definedName name="F17_Alloc_IndCor_30D_I_OthC">#REF!</definedName>
    <definedName name="F17_Alloc_IndCor_30D_I_RUR">#REF!</definedName>
    <definedName name="F17_Alloc_IndCor_30D_I_USD">#REF!</definedName>
    <definedName name="F17_Alloc_IndCor_360D_Am_AMD">#REF!</definedName>
    <definedName name="F17_Alloc_IndCor_360D_Am_EUR">#REF!</definedName>
    <definedName name="F17_Alloc_IndCor_360D_Am_OthC">#REF!</definedName>
    <definedName name="F17_Alloc_IndCor_360D_Am_RUR">#REF!</definedName>
    <definedName name="F17_Alloc_IndCor_360D_Am_USD">#REF!</definedName>
    <definedName name="F17_Alloc_IndCor_360D_I_AMD">#REF!</definedName>
    <definedName name="F17_Alloc_IndCor_360D_I_EUR">#REF!</definedName>
    <definedName name="F17_Alloc_IndCor_360D_I_OthC">#REF!</definedName>
    <definedName name="F17_Alloc_IndCor_360D_I_RUR">#REF!</definedName>
    <definedName name="F17_Alloc_IndCor_360D_I_USD">#REF!</definedName>
    <definedName name="F17_Alloc_IndCor_60D_Am_AMD">#REF!</definedName>
    <definedName name="F17_Alloc_IndCor_60D_Am_EUR">#REF!</definedName>
    <definedName name="F17_Alloc_IndCor_60D_Am_OthC">#REF!</definedName>
    <definedName name="F17_Alloc_IndCor_60D_Am_RUR">#REF!</definedName>
    <definedName name="F17_Alloc_IndCor_60D_Am_USD">#REF!</definedName>
    <definedName name="F17_Alloc_IndCor_60D_I_AMD">#REF!</definedName>
    <definedName name="F17_Alloc_IndCor_60D_I_EUR">#REF!</definedName>
    <definedName name="F17_Alloc_IndCor_60D_I_OthC">#REF!</definedName>
    <definedName name="F17_Alloc_IndCor_60D_I_RUR">#REF!</definedName>
    <definedName name="F17_Alloc_IndCor_60D_I_USD">#REF!</definedName>
    <definedName name="F17_Alloc_IndCor_90D_Am_AMD">#REF!</definedName>
    <definedName name="F17_Alloc_IndCor_90D_Am_EUR">#REF!</definedName>
    <definedName name="F17_Alloc_IndCor_90D_Am_OthC">#REF!</definedName>
    <definedName name="F17_Alloc_IndCor_90D_Am_RUR">#REF!</definedName>
    <definedName name="F17_Alloc_IndCor_90D_Am_USD">#REF!</definedName>
    <definedName name="F17_Alloc_IndCor_90D_I_AMD">#REF!</definedName>
    <definedName name="F17_Alloc_IndCor_90D_I_EUR">#REF!</definedName>
    <definedName name="F17_Alloc_IndCor_90D_I_OthC">#REF!</definedName>
    <definedName name="F17_Alloc_IndCor_90D_I_RUR">#REF!</definedName>
    <definedName name="F17_Alloc_IndCor_90D_I_USD">#REF!</definedName>
    <definedName name="F17_Alloc_IndCor_Dem_Am_AMD">#REF!</definedName>
    <definedName name="F17_Alloc_IndCor_Dem_Am_EUR">#REF!</definedName>
    <definedName name="F17_Alloc_IndCor_Dem_Am_OthC">#REF!</definedName>
    <definedName name="F17_Alloc_IndCor_Dem_Am_RUR">#REF!</definedName>
    <definedName name="F17_Alloc_IndCor_Dem_Am_USD">#REF!</definedName>
    <definedName name="F17_Alloc_IndCor_Dem_I_AMD">#REF!</definedName>
    <definedName name="F17_Alloc_IndCor_Dem_I_EUR">#REF!</definedName>
    <definedName name="F17_Alloc_IndCor_Dem_I_OthC">#REF!</definedName>
    <definedName name="F17_Alloc_IndCor_Dem_I_RUR">#REF!</definedName>
    <definedName name="F17_Alloc_IndCor_Dem_I_USD">#REF!</definedName>
    <definedName name="F17_Alloc_IndCor_Mr360D_Am_AMD">#REF!</definedName>
    <definedName name="F17_Alloc_IndCor_Mr360D_Am_EUR">#REF!</definedName>
    <definedName name="F17_Alloc_IndCor_Mr360D_Am_RUR">#REF!</definedName>
    <definedName name="F17_Alloc_IndCor_Mr360D_I_AMD">#REF!</definedName>
    <definedName name="F17_Alloc_IndCor_Mr360D_I_EUR">#REF!</definedName>
    <definedName name="F17_Alloc_IndCor_Mr360D_I_RUR">#REF!</definedName>
    <definedName name="F17_Alloc_IndCor_Mr360D_I_USD">#REF!</definedName>
    <definedName name="F17_Alloc_IndCor_Tot_Am_AMD1">#REF!</definedName>
    <definedName name="F17_Alloc_IndCor_Tot_Am_EUR1">#REF!</definedName>
    <definedName name="F17_Alloc_IndCor_Tot_Am_OthC1">#REF!</definedName>
    <definedName name="F17_Alloc_IndCor_Tot_Am_RUR1">#REF!</definedName>
    <definedName name="F17_Alloc_IndCor_Tot_Am_USD1">#REF!</definedName>
    <definedName name="F17_Alloc_IndCor_Tot_I_AMD11">#REF!</definedName>
    <definedName name="F17_Alloc_IndCor_Tot_I_AMD12">#REF!</definedName>
    <definedName name="F17_Alloc_IndCor_Tot_I_EUR11">#REF!</definedName>
    <definedName name="F17_Alloc_IndCor_Tot_I_EUR12">#REF!</definedName>
    <definedName name="F17_Alloc_IndCor_Tot_I_OthC11">#REF!</definedName>
    <definedName name="F17_Alloc_IndCor_Tot_I_OthC12">#REF!</definedName>
    <definedName name="F17_Alloc_IndCor_Tot_I_RUR11">#REF!</definedName>
    <definedName name="F17_Alloc_IndCor_Tot_I_RUR12">#REF!</definedName>
    <definedName name="F17_Alloc_IndCor_Tot_I_USD11">#REF!</definedName>
    <definedName name="F17_Alloc_IndCor_Tot_I_USD12">#REF!</definedName>
    <definedName name="F17_Alloc_IntOr_15D_Am_AMD">#REF!</definedName>
    <definedName name="F17_Alloc_IntOr_15D_Am_EUR">#REF!</definedName>
    <definedName name="F17_Alloc_IntOr_15D_Am_OthC">#REF!</definedName>
    <definedName name="F17_Alloc_IntOr_15D_Am_RUR">#REF!</definedName>
    <definedName name="F17_Alloc_IntOr_15D_Am_USD">#REF!</definedName>
    <definedName name="F17_Alloc_IntOr_15D_I_AMD">#REF!</definedName>
    <definedName name="F17_Alloc_IntOr_15D_I_EUR">#REF!</definedName>
    <definedName name="F17_Alloc_IntOr_15D_I_OthC">#REF!</definedName>
    <definedName name="F17_Alloc_IntOr_15D_I_RUR">#REF!</definedName>
    <definedName name="F17_Alloc_IntOr_15D_I_USD">#REF!</definedName>
    <definedName name="F17_Alloc_IntOr_180D_Am_AMD">#REF!</definedName>
    <definedName name="F17_Alloc_IntOr_180D_Am_EUR">#REF!</definedName>
    <definedName name="F17_Alloc_IntOr_180D_Am_OthC">#REF!</definedName>
    <definedName name="F17_Alloc_IntOr_180D_Am_RUR">#REF!</definedName>
    <definedName name="F17_Alloc_IntOr_180D_Am_USD">#REF!</definedName>
    <definedName name="F17_Alloc_IntOr_180D_I_AMD">#REF!</definedName>
    <definedName name="F17_Alloc_IntOr_180D_I_EUR">#REF!</definedName>
    <definedName name="F17_Alloc_IntOr_180D_I_OthC">#REF!</definedName>
    <definedName name="F17_Alloc_IntOr_180D_I_RUR">#REF!</definedName>
    <definedName name="F17_Alloc_IntOr_180D_I_USD">#REF!</definedName>
    <definedName name="F17_Alloc_IntOr_30D_Am_AMD">#REF!</definedName>
    <definedName name="F17_Alloc_IntOr_30D_Am_EUR">#REF!</definedName>
    <definedName name="F17_Alloc_IntOr_30D_Am_OthC">#REF!</definedName>
    <definedName name="F17_Alloc_IntOr_30D_Am_RUR">#REF!</definedName>
    <definedName name="F17_Alloc_IntOr_30D_Am_USD">#REF!</definedName>
    <definedName name="F17_Alloc_IntOr_30D_I_AMD">#REF!</definedName>
    <definedName name="F17_Alloc_IntOr_30D_I_EUR">#REF!</definedName>
    <definedName name="F17_Alloc_IntOr_30D_I_OthC">#REF!</definedName>
    <definedName name="F17_Alloc_IntOr_30D_I_RUR">#REF!</definedName>
    <definedName name="F17_Alloc_IntOr_30D_I_USD">#REF!</definedName>
    <definedName name="F17_Alloc_IntOr_360D_Am_AMD">#REF!</definedName>
    <definedName name="F17_Alloc_IntOr_360D_Am_EUR">#REF!</definedName>
    <definedName name="F17_Alloc_IntOr_360D_Am_OthC">#REF!</definedName>
    <definedName name="F17_Alloc_IntOr_360D_Am_RUR">#REF!</definedName>
    <definedName name="F17_Alloc_IntOr_360D_Am_USD">#REF!</definedName>
    <definedName name="F17_Alloc_IntOr_360D_I_AMD">#REF!</definedName>
    <definedName name="F17_Alloc_IntOr_360D_I_EUR">#REF!</definedName>
    <definedName name="F17_Alloc_IntOr_360D_I_OthC">#REF!</definedName>
    <definedName name="F17_Alloc_IntOr_360D_I_RUR">#REF!</definedName>
    <definedName name="F17_Alloc_IntOr_360D_I_USD">#REF!</definedName>
    <definedName name="F17_Alloc_IntOr_60D_Am_AMD">#REF!</definedName>
    <definedName name="F17_Alloc_IntOr_60D_Am_EUR">#REF!</definedName>
    <definedName name="F17_Alloc_IntOr_60D_Am_OthC">#REF!</definedName>
    <definedName name="F17_Alloc_IntOr_60D_Am_RUR">#REF!</definedName>
    <definedName name="F17_Alloc_IntOr_60D_Am_USD">#REF!</definedName>
    <definedName name="F17_Alloc_IntOr_60D_I_AMD">#REF!</definedName>
    <definedName name="F17_Alloc_IntOr_60D_I_EUR">#REF!</definedName>
    <definedName name="F17_Alloc_IntOr_60D_I_OthC">#REF!</definedName>
    <definedName name="F17_Alloc_IntOr_60D_I_RUR">#REF!</definedName>
    <definedName name="F17_Alloc_IntOr_60D_I_USD">#REF!</definedName>
    <definedName name="F17_Alloc_IntOr_90D_Am_AMD">#REF!</definedName>
    <definedName name="F17_Alloc_IntOr_90D_Am_EUR">#REF!</definedName>
    <definedName name="F17_Alloc_IntOr_90D_Am_OthC">#REF!</definedName>
    <definedName name="F17_Alloc_IntOr_90D_Am_RUR">#REF!</definedName>
    <definedName name="F17_Alloc_IntOr_90D_Am_USD">#REF!</definedName>
    <definedName name="F17_Alloc_IntOr_90D_I_AMD">#REF!</definedName>
    <definedName name="F17_Alloc_IntOr_90D_I_EUR">#REF!</definedName>
    <definedName name="F17_Alloc_IntOr_90D_I_OthC">#REF!</definedName>
    <definedName name="F17_Alloc_IntOr_90D_I_RUR">#REF!</definedName>
    <definedName name="F17_Alloc_IntOr_90D_I_USD">#REF!</definedName>
    <definedName name="F17_Alloc_IntOr_Dem_Am_AMD">#REF!</definedName>
    <definedName name="F17_Alloc_IntOr_Dem_Am_EUR">#REF!</definedName>
    <definedName name="F17_Alloc_IntOr_Dem_Am_OthC">#REF!</definedName>
    <definedName name="F17_Alloc_IntOr_Dem_Am_RUR">#REF!</definedName>
    <definedName name="F17_Alloc_IntOr_Dem_Am_USD">#REF!</definedName>
    <definedName name="F17_Alloc_IntOr_Dem_I_AMD">#REF!</definedName>
    <definedName name="F17_Alloc_IntOr_Dem_I_EUR">#REF!</definedName>
    <definedName name="F17_Alloc_IntOr_Dem_I_OthC">#REF!</definedName>
    <definedName name="F17_Alloc_IntOr_Dem_I_RUR">#REF!</definedName>
    <definedName name="F17_Alloc_IntOr_Dem_I_USD">#REF!</definedName>
    <definedName name="F17_Alloc_IntOr_Mr360D_Am_AMD">#REF!</definedName>
    <definedName name="F17_Alloc_IntOr_Mr360D_Am_EUR">#REF!</definedName>
    <definedName name="F17_Alloc_IntOr_Mr360D_Am_OthC">#REF!</definedName>
    <definedName name="F17_Alloc_IntOr_Mr360D_Am_RUR">#REF!</definedName>
    <definedName name="F17_Alloc_IntOr_Mr360D_Am_USD">#REF!</definedName>
    <definedName name="F17_Alloc_IntOr_Mr360D_I_AMD">#REF!</definedName>
    <definedName name="F17_Alloc_IntOr_Mr360D_I_EUR">#REF!</definedName>
    <definedName name="F17_Alloc_IntOr_Mr360D_I_OthC">#REF!</definedName>
    <definedName name="F17_Alloc_IntOr_Mr360D_I_RUR">#REF!</definedName>
    <definedName name="F17_Alloc_IntOr_Mr360D_I_USD">#REF!</definedName>
    <definedName name="F17_Alloc_IntOr_Tot_Am_AMD1">#REF!</definedName>
    <definedName name="F17_Alloc_IntOr_Tot_Am_EUR1">#REF!</definedName>
    <definedName name="F17_Alloc_IntOr_Tot_Am_OthC1">#REF!</definedName>
    <definedName name="F17_Alloc_IntOr_Tot_Am_RUR1">#REF!</definedName>
    <definedName name="F17_Alloc_IntOr_Tot_Am_USD1">#REF!</definedName>
    <definedName name="F17_Alloc_IntOr_Tot_I_AMD11">#REF!</definedName>
    <definedName name="F17_Alloc_IntOr_Tot_I_AMD12">#REF!</definedName>
    <definedName name="F17_Alloc_IntOr_Tot_I_EUR11">#REF!</definedName>
    <definedName name="F17_Alloc_IntOr_Tot_I_EUR12">#REF!</definedName>
    <definedName name="F17_Alloc_IntOr_Tot_I_OthC11">#REF!</definedName>
    <definedName name="F17_Alloc_IntOr_Tot_I_OthC12">#REF!</definedName>
    <definedName name="F17_Alloc_IntOr_Tot_I_RUR11">#REF!</definedName>
    <definedName name="F17_Alloc_IntOr_Tot_I_RUR12">#REF!</definedName>
    <definedName name="F17_Alloc_IntOr_Tot_I_USD11">#REF!</definedName>
    <definedName name="F17_Alloc_IntOr_Tot_I_USD12">#REF!</definedName>
    <definedName name="F17_Alloc_OthBn_15D_Am_AMD">#REF!</definedName>
    <definedName name="F17_Alloc_OthBn_15D_Am_EUR">#REF!</definedName>
    <definedName name="F17_Alloc_OthBn_15D_Am_OthC">#REF!</definedName>
    <definedName name="F17_Alloc_OthBn_15D_Am_RUR">#REF!</definedName>
    <definedName name="F17_Alloc_OthBn_15D_Am_USD">#REF!</definedName>
    <definedName name="F17_Alloc_OthBn_15D_I_AMD">#REF!</definedName>
    <definedName name="F17_Alloc_OthBn_15D_I_EUR">#REF!</definedName>
    <definedName name="F17_Alloc_OthBn_15D_I_OthC">#REF!</definedName>
    <definedName name="F17_Alloc_OthBn_15D_I_RUR">#REF!</definedName>
    <definedName name="F17_Alloc_OthBn_15D_I_USD">#REF!</definedName>
    <definedName name="F17_Alloc_OthBn_180D_Am_AMD">#REF!</definedName>
    <definedName name="F17_Alloc_OthBn_180D_Am_EUR">#REF!</definedName>
    <definedName name="F17_Alloc_OthBn_180D_Am_OthC">#REF!</definedName>
    <definedName name="F17_Alloc_OthBn_180D_Am_RUR">#REF!</definedName>
    <definedName name="F17_Alloc_OthBn_180D_Am_USD">#REF!</definedName>
    <definedName name="F17_Alloc_OthBn_180D_I_AMD">#REF!</definedName>
    <definedName name="F17_Alloc_OthBn_180D_I_EUR">#REF!</definedName>
    <definedName name="F17_Alloc_OthBn_180D_I_OthC">#REF!</definedName>
    <definedName name="F17_Alloc_OthBn_180D_I_RUR">#REF!</definedName>
    <definedName name="F17_Alloc_OthBn_180D_I_USD">#REF!</definedName>
    <definedName name="F17_Alloc_OthBn_30D_Am_AMD">#REF!</definedName>
    <definedName name="F17_Alloc_OthBn_30D_Am_EUR">#REF!</definedName>
    <definedName name="F17_Alloc_OthBn_30D_Am_OthC">#REF!</definedName>
    <definedName name="F17_Alloc_OthBn_30D_Am_RUR">#REF!</definedName>
    <definedName name="F17_Alloc_OthBn_30D_Am_USD">#REF!</definedName>
    <definedName name="F17_Alloc_OthBn_30D_I_AMD">#REF!</definedName>
    <definedName name="F17_Alloc_OthBn_30D_I_EUR">#REF!</definedName>
    <definedName name="F17_Alloc_OthBn_30D_I_OthC">#REF!</definedName>
    <definedName name="F17_Alloc_OthBn_30D_I_RUR">#REF!</definedName>
    <definedName name="F17_Alloc_OthBn_30D_I_USD">#REF!</definedName>
    <definedName name="F17_Alloc_OthBn_360D_Am_AMD">#REF!</definedName>
    <definedName name="F17_Alloc_OthBn_360D_Am_EUR">#REF!</definedName>
    <definedName name="F17_Alloc_OthBn_360D_Am_OthC">#REF!</definedName>
    <definedName name="F17_Alloc_OthBn_360D_Am_RUR">#REF!</definedName>
    <definedName name="F17_Alloc_OthBn_360D_Am_USD">#REF!</definedName>
    <definedName name="F17_Alloc_OthBn_360D_I_AMD">#REF!</definedName>
    <definedName name="F17_Alloc_OthBn_360D_I_EUR">#REF!</definedName>
    <definedName name="F17_Alloc_OthBn_360D_I_OthC">#REF!</definedName>
    <definedName name="F17_Alloc_OthBn_360D_I_RUR">#REF!</definedName>
    <definedName name="F17_Alloc_OthBn_360D_I_USD">#REF!</definedName>
    <definedName name="F17_Alloc_OthBn_60D_Am_AMD">#REF!</definedName>
    <definedName name="F17_Alloc_OthBn_60D_Am_EUR">#REF!</definedName>
    <definedName name="F17_Alloc_OthBn_60D_Am_OthC">#REF!</definedName>
    <definedName name="F17_Alloc_OthBn_60D_Am_RUR">#REF!</definedName>
    <definedName name="F17_Alloc_OthBn_60D_Am_USD">#REF!</definedName>
    <definedName name="F17_Alloc_OthBn_60D_I_AMD">#REF!</definedName>
    <definedName name="F17_Alloc_OthBn_60D_I_EUR">#REF!</definedName>
    <definedName name="F17_Alloc_OthBn_60D_I_OthC">#REF!</definedName>
    <definedName name="F17_Alloc_OthBn_60D_I_RUR">#REF!</definedName>
    <definedName name="F17_Alloc_OthBn_60D_I_USD">#REF!</definedName>
    <definedName name="F17_Alloc_OthBn_90D_Am_AMD">#REF!</definedName>
    <definedName name="F17_Alloc_OthBn_90D_Am_EUR">#REF!</definedName>
    <definedName name="F17_Alloc_OthBn_90D_Am_OthC">#REF!</definedName>
    <definedName name="F17_Alloc_OthBn_90D_Am_RUR">#REF!</definedName>
    <definedName name="F17_Alloc_OthBn_90D_Am_USD">#REF!</definedName>
    <definedName name="F17_Alloc_OthBn_90D_I_AMD">#REF!</definedName>
    <definedName name="F17_Alloc_OthBn_90D_I_EUR">#REF!</definedName>
    <definedName name="F17_Alloc_OthBn_90D_I_OthC">#REF!</definedName>
    <definedName name="F17_Alloc_OthBn_90D_I_RUR">#REF!</definedName>
    <definedName name="F17_Alloc_OthBn_90D_I_USD">#REF!</definedName>
    <definedName name="F17_Alloc_OthBn_Dem_Am_AMD">#REF!</definedName>
    <definedName name="F17_Alloc_OthBn_Dem_Am_EUR">#REF!</definedName>
    <definedName name="F17_Alloc_OthBn_Dem_Am_OthC">#REF!</definedName>
    <definedName name="F17_Alloc_OthBn_Dem_Am_RUR">#REF!</definedName>
    <definedName name="F17_Alloc_OthBn_Dem_Am_USD">#REF!</definedName>
    <definedName name="F17_Alloc_OthBn_Dem_I_AMD">#REF!</definedName>
    <definedName name="F17_Alloc_OthBn_Dem_I_EUR">#REF!</definedName>
    <definedName name="F17_Alloc_OthBn_Dem_I_OthC">#REF!</definedName>
    <definedName name="F17_Alloc_OthBn_Dem_I_RUR">#REF!</definedName>
    <definedName name="F17_Alloc_OthBn_Dem_I_USD">#REF!</definedName>
    <definedName name="F17_Alloc_OthBn_Mr360D_Am_AMD">#REF!</definedName>
    <definedName name="F17_Alloc_OthBn_Mr360D_Am_EUR">#REF!</definedName>
    <definedName name="F17_Alloc_OthBn_Mr360D_Am_OthC">#REF!</definedName>
    <definedName name="F17_Alloc_OthBn_Mr360D_Am_RUR">#REF!</definedName>
    <definedName name="F17_Alloc_OthBn_Mr360D_Am_USD">#REF!</definedName>
    <definedName name="F17_Alloc_OthBn_Mr360D_I_AMD">#REF!</definedName>
    <definedName name="F17_Alloc_OthBn_Mr360D_I_EUR">#REF!</definedName>
    <definedName name="F17_Alloc_OthBn_Mr360D_I_OthC">#REF!</definedName>
    <definedName name="F17_Alloc_OthBn_Mr360D_I_RUR">#REF!</definedName>
    <definedName name="F17_Alloc_OthBn_Mr360D_I_USD">#REF!</definedName>
    <definedName name="F17_Alloc_OthBn_Tot_Am_AMD1">#REF!</definedName>
    <definedName name="F17_Alloc_OthBn_Tot_Am_EUR1">#REF!</definedName>
    <definedName name="F17_Alloc_OthBn_Tot_Am_OthC1">#REF!</definedName>
    <definedName name="F17_Alloc_OthBn_Tot_Am_RUR1">#REF!</definedName>
    <definedName name="F17_Alloc_OthBn_Tot_Am_USD1">#REF!</definedName>
    <definedName name="F17_Alloc_OthBn_Tot_I_AMD11">#REF!</definedName>
    <definedName name="F17_Alloc_OthBn_Tot_I_AMD12">#REF!</definedName>
    <definedName name="F17_Alloc_OthBn_Tot_I_EUR11">#REF!</definedName>
    <definedName name="F17_Alloc_OthBn_Tot_I_EUR12">#REF!</definedName>
    <definedName name="F17_Alloc_OthBn_Tot_I_OthC11">#REF!</definedName>
    <definedName name="F17_Alloc_OthBn_Tot_I_OthC12">#REF!</definedName>
    <definedName name="F17_Alloc_OthBn_Tot_I_RUR11">#REF!</definedName>
    <definedName name="F17_Alloc_OthBn_Tot_I_RUR12">#REF!</definedName>
    <definedName name="F17_Alloc_OthBn_Tot_I_USD11">#REF!</definedName>
    <definedName name="F17_Alloc_OthBn_Tot_I_USD12">#REF!</definedName>
    <definedName name="F17_Alloc_Repo_15D_Am_ABnk">#REF!</definedName>
    <definedName name="F17_Alloc_Repo_15D_Am_Bus">#REF!</definedName>
    <definedName name="F17_Alloc_Repo_15D_Am_Ind">#REF!</definedName>
    <definedName name="F17_Alloc_Repo_15D_Am_OthBn">#REF!</definedName>
    <definedName name="F17_Alloc_Repo_15D_I_ABnk">#REF!</definedName>
    <definedName name="F17_Alloc_Repo_15D_I_Bus">#REF!</definedName>
    <definedName name="F17_Alloc_Repo_15D_I_Ind">#REF!</definedName>
    <definedName name="F17_Alloc_Repo_15D_I_OthBn">#REF!</definedName>
    <definedName name="F17_Alloc_Repo_180D_Am_ABnk">#REF!</definedName>
    <definedName name="F17_Alloc_Repo_180D_Am_Bus">#REF!</definedName>
    <definedName name="F17_Alloc_Repo_180D_Am_Ind">#REF!</definedName>
    <definedName name="F17_Alloc_Repo_180D_Am_OthBn">#REF!</definedName>
    <definedName name="F17_Alloc_Repo_180D_I_ABnk">#REF!</definedName>
    <definedName name="F17_Alloc_Repo_180D_I_Bus">#REF!</definedName>
    <definedName name="F17_Alloc_Repo_180D_I_Ind">#REF!</definedName>
    <definedName name="F17_Alloc_Repo_180D_I_OthBn">#REF!</definedName>
    <definedName name="F17_Alloc_Repo_30D_Am_ABnk">#REF!</definedName>
    <definedName name="F17_Alloc_Repo_30D_Am_Bus">#REF!</definedName>
    <definedName name="F17_Alloc_Repo_30D_Am_Ind">#REF!</definedName>
    <definedName name="F17_Alloc_Repo_30D_Am_OthBn">#REF!</definedName>
    <definedName name="F17_Alloc_Repo_30D_I_ABnk">#REF!</definedName>
    <definedName name="F17_Alloc_Repo_30D_I_Bus">#REF!</definedName>
    <definedName name="F17_Alloc_Repo_30D_I_Ind">#REF!</definedName>
    <definedName name="F17_Alloc_Repo_30D_I_OthBn">#REF!</definedName>
    <definedName name="F17_Alloc_Repo_360D_Am_ABnk">#REF!</definedName>
    <definedName name="F17_Alloc_Repo_360D_Am_Bus">#REF!</definedName>
    <definedName name="F17_Alloc_Repo_360D_Am_Ind">#REF!</definedName>
    <definedName name="F17_Alloc_Repo_360D_Am_OthBn">#REF!</definedName>
    <definedName name="F17_Alloc_Repo_360D_I_ABnk">#REF!</definedName>
    <definedName name="F17_Alloc_Repo_360D_I_Bus">#REF!</definedName>
    <definedName name="F17_Alloc_Repo_360D_I_Ind">#REF!</definedName>
    <definedName name="F17_Alloc_Repo_360D_I_OthBn">#REF!</definedName>
    <definedName name="F17_Alloc_Repo_60D_Am_ABnk">#REF!</definedName>
    <definedName name="F17_Alloc_Repo_60D_Am_Bus">#REF!</definedName>
    <definedName name="F17_Alloc_Repo_60D_Am_Ind">#REF!</definedName>
    <definedName name="F17_Alloc_Repo_60D_Am_OthBn">#REF!</definedName>
    <definedName name="F17_Alloc_Repo_60D_I_ABnk">#REF!</definedName>
    <definedName name="F17_Alloc_Repo_60D_I_Bus">#REF!</definedName>
    <definedName name="F17_Alloc_Repo_60D_I_Ind">#REF!</definedName>
    <definedName name="F17_Alloc_Repo_60D_I_OthBn">#REF!</definedName>
    <definedName name="F17_Alloc_Repo_90D_Am_ABnk">#REF!</definedName>
    <definedName name="F17_Alloc_Repo_90D_Am_Bus">#REF!</definedName>
    <definedName name="F17_Alloc_Repo_90D_Am_Ind">#REF!</definedName>
    <definedName name="F17_Alloc_Repo_90D_Am_OthBn">#REF!</definedName>
    <definedName name="F17_Alloc_Repo_90D_I_ABnk">#REF!</definedName>
    <definedName name="F17_Alloc_Repo_90D_I_Bus">#REF!</definedName>
    <definedName name="F17_Alloc_Repo_90D_I_Ind">#REF!</definedName>
    <definedName name="F17_Alloc_Repo_90D_I_OthBn">#REF!</definedName>
    <definedName name="F17_Alloc_Repo_Dem_Am_ABnk">#REF!</definedName>
    <definedName name="F17_Alloc_Repo_Dem_Am_Bus">#REF!</definedName>
    <definedName name="F17_Alloc_Repo_Dem_Am_Ind">#REF!</definedName>
    <definedName name="F17_Alloc_Repo_Dem_Am_OthBn">#REF!</definedName>
    <definedName name="F17_Alloc_Repo_Dem_I_ABnk">#REF!</definedName>
    <definedName name="F17_Alloc_Repo_Dem_I_Bus">#REF!</definedName>
    <definedName name="F17_Alloc_Repo_Dem_I_Ind">#REF!</definedName>
    <definedName name="F17_Alloc_Repo_Dem_I_OthBn">#REF!</definedName>
    <definedName name="F17_Alloc_Repo_Mr360D_Am_ABnk">#REF!</definedName>
    <definedName name="F17_Alloc_Repo_Mr360D_Am_Bus">#REF!</definedName>
    <definedName name="F17_Alloc_Repo_Mr360D_Am_Ind">#REF!</definedName>
    <definedName name="F17_Alloc_Repo_Mr360D_Am_OthBn">#REF!</definedName>
    <definedName name="F17_Alloc_Repo_Mr360D_I_ABnk">#REF!</definedName>
    <definedName name="F17_Alloc_Repo_Mr360D_I_Bus">#REF!</definedName>
    <definedName name="F17_Alloc_Repo_Mr360D_I_Ind">#REF!</definedName>
    <definedName name="F17_Alloc_Repo_Mr360D_I_OthBn">#REF!</definedName>
    <definedName name="F17_Alloc_Repo_Tot_Am_ABnk1">#REF!</definedName>
    <definedName name="F17_Alloc_Repo_Tot_Am_Bus1">#REF!</definedName>
    <definedName name="F17_Alloc_Repo_Tot_Am_Ind1">#REF!</definedName>
    <definedName name="F17_Alloc_Repo_Tot_Am_OthBn1">#REF!</definedName>
    <definedName name="F17_Alloc_Repo_Tot_I_ABnk11">#REF!</definedName>
    <definedName name="F17_Alloc_Repo_Tot_I_ABnk12">#REF!</definedName>
    <definedName name="F17_Alloc_Repo_Tot_I_Bus11">#REF!</definedName>
    <definedName name="F17_Alloc_Repo_Tot_I_Bus12">#REF!</definedName>
    <definedName name="F17_Alloc_Repo_Tot_I_Ind11">#REF!</definedName>
    <definedName name="F17_Alloc_Repo_Tot_I_Ind12">#REF!</definedName>
    <definedName name="F17_Alloc_Repo_Tot_I_OthBn11">#REF!</definedName>
    <definedName name="F17_Alloc_Repo_Tot_I_OthBn12">#REF!</definedName>
    <definedName name="F17_Alloc_RepoF_Mr360D_Am">#REF!</definedName>
    <definedName name="F17_Alloc_RepoFX_15D_Am">#REF!</definedName>
    <definedName name="F17_Alloc_RepoFX_15D_I">#REF!</definedName>
    <definedName name="F17_Alloc_RepoFX_180D_Am">#REF!</definedName>
    <definedName name="F17_Alloc_RepoFX_180D_I">#REF!</definedName>
    <definedName name="F17_Alloc_RepoFX_30D_Am">#REF!</definedName>
    <definedName name="F17_Alloc_RepoFX_30D_I">#REF!</definedName>
    <definedName name="F17_Alloc_RepoFX_360D_Am">#REF!</definedName>
    <definedName name="F17_Alloc_RepoFX_360D_I">#REF!</definedName>
    <definedName name="F17_Alloc_RepoFX_60D_Am">#REF!</definedName>
    <definedName name="F17_Alloc_RepoFX_60D_I">#REF!</definedName>
    <definedName name="F17_Alloc_RepoFX_90D_Am">#REF!</definedName>
    <definedName name="F17_Alloc_RepoFX_90D_I">#REF!</definedName>
    <definedName name="F17_Alloc_RepoFX_Dem_Am">#REF!</definedName>
    <definedName name="F17_Alloc_RepoFX_Dem_I">#REF!</definedName>
    <definedName name="F17_Alloc_RepoFX_Mr360D_I">#REF!</definedName>
    <definedName name="F17_Alloc_RRepoFX_Tot_Am1">#REF!</definedName>
    <definedName name="F17_Alloc_RRepoFX_Tot_I11">#REF!</definedName>
    <definedName name="F17_Alloc_RRepoFX_Tot_I12">#REF!</definedName>
    <definedName name="F17_Attr_ABnk_15D_Am_AMD">#REF!</definedName>
    <definedName name="F17_Attr_ABnk_15D_Am_EUR">#REF!</definedName>
    <definedName name="F17_Attr_ABnk_15D_Am_OthC">#REF!</definedName>
    <definedName name="F17_Attr_ABnk_15D_Am_RUR">#REF!</definedName>
    <definedName name="F17_Attr_ABnk_15D_Am_USD">#REF!</definedName>
    <definedName name="F17_Attr_ABnk_15D_I_AMD">#REF!</definedName>
    <definedName name="F17_Attr_ABnk_15D_I_EUR">#REF!</definedName>
    <definedName name="F17_Attr_ABnk_15D_I_OthC">#REF!</definedName>
    <definedName name="F17_Attr_ABnk_15D_I_RUR">#REF!</definedName>
    <definedName name="F17_Attr_ABnk_15D_I_USD">#REF!</definedName>
    <definedName name="F17_Attr_ABnk_180D_Am_AMD">#REF!</definedName>
    <definedName name="F17_Attr_ABnk_180D_Am_EUR">#REF!</definedName>
    <definedName name="F17_Attr_ABnk_180D_Am_OthC">#REF!</definedName>
    <definedName name="F17_Attr_ABnk_180D_Am_RUR">#REF!</definedName>
    <definedName name="F17_Attr_ABnk_180D_Am_USD">#REF!</definedName>
    <definedName name="F17_Attr_ABnk_180D_I_AMD">#REF!</definedName>
    <definedName name="F17_Attr_ABnk_180D_I_EUR">#REF!</definedName>
    <definedName name="F17_Attr_ABnk_180D_I_OthC">#REF!</definedName>
    <definedName name="F17_Attr_ABnk_180D_I_RUR">#REF!</definedName>
    <definedName name="F17_Attr_ABnk_180D_I_USD">#REF!</definedName>
    <definedName name="F17_Attr_ABnk_30D_Am_AMD">#REF!</definedName>
    <definedName name="F17_Attr_ABnk_30D_Am_EUR">#REF!</definedName>
    <definedName name="F17_Attr_ABnk_30D_Am_OthC">#REF!</definedName>
    <definedName name="F17_Attr_ABnk_30D_Am_RUR">#REF!</definedName>
    <definedName name="F17_Attr_ABnk_30D_Am_USD">#REF!</definedName>
    <definedName name="F17_Attr_ABnk_30D_I_AMD">#REF!</definedName>
    <definedName name="F17_Attr_ABnk_30D_I_EUR">#REF!</definedName>
    <definedName name="F17_Attr_ABnk_30D_I_OthC">#REF!</definedName>
    <definedName name="F17_Attr_ABnk_30D_I_RUR">#REF!</definedName>
    <definedName name="F17_Attr_ABnk_30D_I_USD">#REF!</definedName>
    <definedName name="F17_Attr_ABnk_360D_Am_AMD">#REF!</definedName>
    <definedName name="F17_Attr_ABnk_360D_Am_EUR">#REF!</definedName>
    <definedName name="F17_Attr_ABnk_360D_Am_OthC">#REF!</definedName>
    <definedName name="F17_Attr_ABnk_360D_Am_RUR">#REF!</definedName>
    <definedName name="F17_Attr_ABnk_360D_Am_USD">#REF!</definedName>
    <definedName name="F17_Attr_ABnk_360D_I_AMD">#REF!</definedName>
    <definedName name="F17_Attr_ABnk_360D_I_EUR">#REF!</definedName>
    <definedName name="F17_Attr_ABnk_360D_I_OthC">#REF!</definedName>
    <definedName name="F17_Attr_ABnk_360D_I_RUR">#REF!</definedName>
    <definedName name="F17_Attr_ABnk_360D_I_USD">#REF!</definedName>
    <definedName name="F17_Attr_ABnk_60D_Am_AMD">#REF!</definedName>
    <definedName name="F17_Attr_ABnk_60D_Am_EUR">#REF!</definedName>
    <definedName name="F17_Attr_ABnk_60D_Am_OthC">#REF!</definedName>
    <definedName name="F17_Attr_ABnk_60D_Am_RUR">#REF!</definedName>
    <definedName name="F17_Attr_ABnk_60D_Am_USD">#REF!</definedName>
    <definedName name="F17_Attr_ABnk_60D_I_AMD">#REF!</definedName>
    <definedName name="F17_Attr_ABnk_60D_I_EUR">#REF!</definedName>
    <definedName name="F17_Attr_ABnk_60D_I_OthC">#REF!</definedName>
    <definedName name="F17_Attr_ABnk_60D_I_RUR">#REF!</definedName>
    <definedName name="F17_Attr_ABnk_60D_I_USD">#REF!</definedName>
    <definedName name="F17_Attr_ABnk_90D_Am_AMD">#REF!</definedName>
    <definedName name="F17_Attr_ABnk_90D_Am_EUR">#REF!</definedName>
    <definedName name="F17_Attr_ABnk_90D_Am_OthC">#REF!</definedName>
    <definedName name="F17_Attr_ABnk_90D_Am_RUR">#REF!</definedName>
    <definedName name="F17_Attr_ABnk_90D_Am_USD">#REF!</definedName>
    <definedName name="F17_Attr_ABnk_90D_I_AMD">#REF!</definedName>
    <definedName name="F17_Attr_ABnk_90D_I_EUR">#REF!</definedName>
    <definedName name="F17_Attr_ABnk_90D_I_OthC">#REF!</definedName>
    <definedName name="F17_Attr_ABnk_90D_I_RUR">#REF!</definedName>
    <definedName name="F17_Attr_ABnk_90D_I_USD">#REF!</definedName>
    <definedName name="F17_Attr_ABnk_Dem_Am_AMD">#REF!</definedName>
    <definedName name="F17_Attr_ABnk_Dem_Am_EUR">#REF!</definedName>
    <definedName name="F17_Attr_ABnk_Dem_Am_OthC">#REF!</definedName>
    <definedName name="F17_Attr_ABnk_Dem_Am_RUR">#REF!</definedName>
    <definedName name="F17_Attr_ABnk_Dem_Am_USD">#REF!</definedName>
    <definedName name="F17_Attr_ABnk_Dem_I_AMD">#REF!</definedName>
    <definedName name="F17_Attr_ABnk_Dem_I_EUR">#REF!</definedName>
    <definedName name="F17_Attr_ABnk_Dem_I_OthC">#REF!</definedName>
    <definedName name="F17_Attr_ABnk_Dem_I_RUR">#REF!</definedName>
    <definedName name="F17_Attr_ABnk_Dem_I_USD">#REF!</definedName>
    <definedName name="F17_Attr_ABnk_Mr360D_Am_AMD">#REF!</definedName>
    <definedName name="F17_Attr_ABnk_Mr360D_Am_EUR">#REF!</definedName>
    <definedName name="F17_Attr_ABnk_Mr360D_Am_OthC">#REF!</definedName>
    <definedName name="F17_Attr_ABnk_Mr360D_Am_RUR">#REF!</definedName>
    <definedName name="F17_Attr_ABnk_Mr360D_Am_USD">#REF!</definedName>
    <definedName name="F17_Attr_ABnk_Mr360D_I_AMD">#REF!</definedName>
    <definedName name="F17_Attr_ABnk_Mr360D_I_EUR">#REF!</definedName>
    <definedName name="F17_Attr_ABnk_Mr360D_I_OthC">#REF!</definedName>
    <definedName name="F17_Attr_ABnk_Mr360D_I_RUR">#REF!</definedName>
    <definedName name="F17_Attr_ABnk_Mr360D_I_USD">#REF!</definedName>
    <definedName name="F17_Attr_ABnk_Tot_Am_AMD1">#REF!</definedName>
    <definedName name="F17_Attr_ABnk_Tot_Am_EUR1">#REF!</definedName>
    <definedName name="F17_Attr_ABnk_Tot_Am_OthC1">#REF!</definedName>
    <definedName name="F17_Attr_ABnk_Tot_Am_RUR1">#REF!</definedName>
    <definedName name="F17_Attr_ABnk_Tot_Am_USD1">#REF!</definedName>
    <definedName name="F17_Attr_ABnk_Tot_I_AMD11">#REF!</definedName>
    <definedName name="F17_Attr_ABnk_Tot_I_AMD12">#REF!</definedName>
    <definedName name="F17_Attr_ABnk_Tot_I_EUR11">#REF!</definedName>
    <definedName name="F17_Attr_ABnk_Tot_I_EUR12">#REF!</definedName>
    <definedName name="F17_Attr_ABnk_Tot_I_OthC11">#REF!</definedName>
    <definedName name="F17_Attr_ABnk_Tot_I_OthC12">#REF!</definedName>
    <definedName name="F17_Attr_ABnk_Tot_I_RUR11">#REF!</definedName>
    <definedName name="F17_Attr_ABnk_Tot_I_RUR12">#REF!</definedName>
    <definedName name="F17_Attr_ABnk_Tot_I_USD11">#REF!</definedName>
    <definedName name="F17_Attr_ABnk_Tot_I_USD12">#REF!</definedName>
    <definedName name="F17_Attr_Bus_15D_Am_AMD">#REF!</definedName>
    <definedName name="F17_Attr_Bus_15D_Am_EUR">#REF!</definedName>
    <definedName name="F17_Attr_Bus_15D_Am_OthC">#REF!</definedName>
    <definedName name="F17_Attr_Bus_15D_Am_RUR">#REF!</definedName>
    <definedName name="F17_Attr_Bus_15D_Am_USD">#REF!</definedName>
    <definedName name="F17_Attr_Bus_15D_I_AMD">#REF!</definedName>
    <definedName name="F17_Attr_Bus_15D_I_EUR">#REF!</definedName>
    <definedName name="F17_Attr_Bus_15D_I_OthC">#REF!</definedName>
    <definedName name="F17_Attr_Bus_15D_I_RUR">#REF!</definedName>
    <definedName name="F17_Attr_Bus_15D_I_USD">#REF!</definedName>
    <definedName name="F17_Attr_Bus_180D_Am_AMD">#REF!</definedName>
    <definedName name="F17_Attr_Bus_180D_Am_EUR">#REF!</definedName>
    <definedName name="F17_Attr_Bus_180D_Am_OthC">#REF!</definedName>
    <definedName name="F17_Attr_Bus_180D_Am_RUR">#REF!</definedName>
    <definedName name="F17_Attr_Bus_180D_Am_USD">#REF!</definedName>
    <definedName name="F17_Attr_Bus_180D_I_AMD">#REF!</definedName>
    <definedName name="F17_Attr_Bus_180D_I_EUR">#REF!</definedName>
    <definedName name="F17_Attr_Bus_180D_I_OthC">#REF!</definedName>
    <definedName name="F17_Attr_Bus_180D_I_RUR">#REF!</definedName>
    <definedName name="F17_Attr_Bus_180D_I_USD">#REF!</definedName>
    <definedName name="F17_Attr_Bus_30D_Am_AMD">#REF!</definedName>
    <definedName name="F17_Attr_Bus_30D_Am_EUR">#REF!</definedName>
    <definedName name="F17_Attr_Bus_30D_Am_OthC">#REF!</definedName>
    <definedName name="F17_Attr_Bus_30D_Am_RUR">#REF!</definedName>
    <definedName name="F17_Attr_Bus_30D_Am_USD">#REF!</definedName>
    <definedName name="F17_Attr_Bus_30D_I_AMD">#REF!</definedName>
    <definedName name="F17_Attr_Bus_30D_I_EUR">#REF!</definedName>
    <definedName name="F17_Attr_Bus_30D_I_OthC">#REF!</definedName>
    <definedName name="F17_Attr_Bus_30D_I_RUR">#REF!</definedName>
    <definedName name="F17_Attr_Bus_30D_I_USD">#REF!</definedName>
    <definedName name="F17_Attr_Bus_360D_Am_AMD">#REF!</definedName>
    <definedName name="F17_Attr_Bus_360D_Am_EUR">#REF!</definedName>
    <definedName name="F17_Attr_Bus_360D_Am_OthC">#REF!</definedName>
    <definedName name="F17_Attr_Bus_360D_Am_RUR">#REF!</definedName>
    <definedName name="F17_Attr_Bus_360D_Am_USD">#REF!</definedName>
    <definedName name="F17_Attr_Bus_360D_I_AMD">#REF!</definedName>
    <definedName name="F17_Attr_Bus_360D_I_EUR">#REF!</definedName>
    <definedName name="F17_Attr_Bus_360D_I_OthC">#REF!</definedName>
    <definedName name="F17_Attr_Bus_360D_I_RUR">#REF!</definedName>
    <definedName name="F17_Attr_Bus_360D_I_USD">#REF!</definedName>
    <definedName name="F17_Attr_Bus_60D_Am_AMD">#REF!</definedName>
    <definedName name="F17_Attr_Bus_60D_Am_EUR">#REF!</definedName>
    <definedName name="F17_Attr_Bus_60D_Am_OthC">#REF!</definedName>
    <definedName name="F17_Attr_Bus_60D_Am_RUR">#REF!</definedName>
    <definedName name="F17_Attr_Bus_60D_Am_USD">#REF!</definedName>
    <definedName name="F17_Attr_Bus_60D_I_AMD">#REF!</definedName>
    <definedName name="F17_Attr_Bus_60D_I_EUR">#REF!</definedName>
    <definedName name="F17_Attr_Bus_60D_I_OthC">#REF!</definedName>
    <definedName name="F17_Attr_Bus_60D_I_RUR">#REF!</definedName>
    <definedName name="F17_Attr_Bus_60D_I_USD">#REF!</definedName>
    <definedName name="F17_Attr_Bus_90D_Am_AMD">#REF!</definedName>
    <definedName name="F17_Attr_Bus_90D_Am_EUR">#REF!</definedName>
    <definedName name="F17_Attr_Bus_90D_Am_OthC">#REF!</definedName>
    <definedName name="F17_Attr_Bus_90D_Am_RUR">#REF!</definedName>
    <definedName name="F17_Attr_Bus_90D_Am_USD">#REF!</definedName>
    <definedName name="F17_Attr_Bus_90D_I_AMD">#REF!</definedName>
    <definedName name="F17_Attr_Bus_90D_I_EUR">#REF!</definedName>
    <definedName name="F17_Attr_Bus_90D_I_OthC">#REF!</definedName>
    <definedName name="F17_Attr_Bus_90D_I_RUR">#REF!</definedName>
    <definedName name="F17_Attr_Bus_90D_I_USD">#REF!</definedName>
    <definedName name="F17_Attr_Bus_Dem_Am_AMD">#REF!</definedName>
    <definedName name="F17_Attr_Bus_Dem_Am_EUR">#REF!</definedName>
    <definedName name="F17_Attr_Bus_Dem_Am_OthC">#REF!</definedName>
    <definedName name="F17_Attr_Bus_Dem_Am_RUR">#REF!</definedName>
    <definedName name="F17_Attr_Bus_Dem_Am_USD">#REF!</definedName>
    <definedName name="F17_Attr_Bus_Dem_I_AMD">#REF!</definedName>
    <definedName name="F17_Attr_Bus_Dem_I_EUR">#REF!</definedName>
    <definedName name="F17_Attr_Bus_Dem_I_OthC">#REF!</definedName>
    <definedName name="F17_Attr_Bus_Dem_I_RUR">#REF!</definedName>
    <definedName name="F17_Attr_Bus_Dem_I_USD">#REF!</definedName>
    <definedName name="F17_Attr_Bus_Mr360D_Am_AMD">#REF!</definedName>
    <definedName name="F17_Attr_Bus_Mr360D_Am_EUR">#REF!</definedName>
    <definedName name="F17_Attr_Bus_Mr360D_Am_OthC">#REF!</definedName>
    <definedName name="F17_Attr_Bus_Mr360D_Am_RUR">#REF!</definedName>
    <definedName name="F17_Attr_Bus_Mr360D_Am_USD">#REF!</definedName>
    <definedName name="F17_Attr_Bus_Mr360D_I_AMD">#REF!</definedName>
    <definedName name="F17_Attr_Bus_Mr360D_I_EUR">#REF!</definedName>
    <definedName name="F17_Attr_Bus_Mr360D_I_OthC">#REF!</definedName>
    <definedName name="F17_Attr_Bus_Mr360D_I_RUR">#REF!</definedName>
    <definedName name="F17_Attr_Bus_Mr360D_I_USD">#REF!</definedName>
    <definedName name="F17_Attr_Bus_Tot_Am_AMD1">#REF!</definedName>
    <definedName name="F17_Attr_Bus_Tot_Am_EUR1">#REF!</definedName>
    <definedName name="F17_Attr_Bus_Tot_Am_OthC1">#REF!</definedName>
    <definedName name="F17_Attr_Bus_Tot_Am_RUR1">#REF!</definedName>
    <definedName name="F17_Attr_Bus_Tot_Am_USD1">#REF!</definedName>
    <definedName name="F17_Attr_Bus_Tot_I_AMD11">#REF!</definedName>
    <definedName name="F17_Attr_Bus_Tot_I_AMD12">#REF!</definedName>
    <definedName name="F17_Attr_Bus_Tot_I_EUR11">#REF!</definedName>
    <definedName name="F17_Attr_Bus_Tot_I_EUR12">#REF!</definedName>
    <definedName name="F17_Attr_Bus_Tot_I_OthC11">#REF!</definedName>
    <definedName name="F17_Attr_Bus_Tot_I_OthC12">#REF!</definedName>
    <definedName name="F17_Attr_Bus_Tot_I_RUR11">#REF!</definedName>
    <definedName name="F17_Attr_Bus_Tot_I_RUR12">#REF!</definedName>
    <definedName name="F17_Attr_Bus_Tot_I_USD11">#REF!</definedName>
    <definedName name="F17_Attr_Bus_Tot_I_USD12">#REF!</definedName>
    <definedName name="F17_Attr_Ind_15D_Am_AMD">#REF!</definedName>
    <definedName name="F17_Attr_Ind_15D_Am_EUR">#REF!</definedName>
    <definedName name="F17_Attr_Ind_15D_Am_OthC">#REF!</definedName>
    <definedName name="F17_Attr_Ind_15D_Am_RUR">#REF!</definedName>
    <definedName name="F17_Attr_Ind_15D_Am_USD">#REF!</definedName>
    <definedName name="F17_Attr_Ind_15D_I_AMD">#REF!</definedName>
    <definedName name="F17_Attr_Ind_15D_I_EUR">#REF!</definedName>
    <definedName name="F17_Attr_Ind_15D_I_OthC">#REF!</definedName>
    <definedName name="F17_Attr_Ind_15D_I_RUR">#REF!</definedName>
    <definedName name="F17_Attr_Ind_15D_I_USD">#REF!</definedName>
    <definedName name="F17_Attr_Ind_180D_Am_AMD">#REF!</definedName>
    <definedName name="F17_Attr_Ind_180D_Am_EUR">#REF!</definedName>
    <definedName name="F17_Attr_Ind_180D_Am_OthC">#REF!</definedName>
    <definedName name="F17_Attr_Ind_180D_Am_RUR">#REF!</definedName>
    <definedName name="F17_Attr_Ind_180D_Am_USD">#REF!</definedName>
    <definedName name="F17_Attr_Ind_180D_I_AMD">#REF!</definedName>
    <definedName name="F17_Attr_Ind_180D_I_EUR">#REF!</definedName>
    <definedName name="F17_Attr_Ind_180D_I_OthC">#REF!</definedName>
    <definedName name="F17_Attr_Ind_180D_I_RUR">#REF!</definedName>
    <definedName name="F17_Attr_Ind_180D_I_USD">#REF!</definedName>
    <definedName name="F17_Attr_Ind_30D_Am_AMD">#REF!</definedName>
    <definedName name="F17_Attr_Ind_30D_Am_EUR">#REF!</definedName>
    <definedName name="F17_Attr_Ind_30D_Am_OthC">#REF!</definedName>
    <definedName name="F17_Attr_Ind_30D_Am_RUR">#REF!</definedName>
    <definedName name="F17_Attr_Ind_30D_Am_USD">#REF!</definedName>
    <definedName name="F17_Attr_Ind_30D_I_AMD">#REF!</definedName>
    <definedName name="F17_Attr_Ind_30D_I_EUR">#REF!</definedName>
    <definedName name="F17_Attr_Ind_30D_I_OthC">#REF!</definedName>
    <definedName name="F17_Attr_Ind_30D_I_RUR">#REF!</definedName>
    <definedName name="F17_Attr_Ind_30D_I_USD">#REF!</definedName>
    <definedName name="F17_Attr_Ind_360D_Am_AMD">#REF!</definedName>
    <definedName name="F17_Attr_Ind_360D_Am_EUR">#REF!</definedName>
    <definedName name="F17_Attr_Ind_360D_Am_OthC">#REF!</definedName>
    <definedName name="F17_Attr_Ind_360D_Am_RUR">#REF!</definedName>
    <definedName name="F17_Attr_Ind_360D_Am_USD">#REF!</definedName>
    <definedName name="F17_Attr_Ind_360D_I_AMD">#REF!</definedName>
    <definedName name="F17_Attr_Ind_360D_I_EUR">#REF!</definedName>
    <definedName name="F17_Attr_Ind_360D_I_OthC">#REF!</definedName>
    <definedName name="F17_Attr_Ind_360D_I_RUR">#REF!</definedName>
    <definedName name="F17_Attr_Ind_360D_I_USD">#REF!</definedName>
    <definedName name="F17_Attr_Ind_60D_Am_AMD">#REF!</definedName>
    <definedName name="F17_Attr_Ind_60D_Am_EUR">#REF!</definedName>
    <definedName name="F17_Attr_Ind_60D_Am_OthC">#REF!</definedName>
    <definedName name="F17_Attr_Ind_60D_Am_RUR">#REF!</definedName>
    <definedName name="F17_Attr_Ind_60D_Am_USD">#REF!</definedName>
    <definedName name="F17_Attr_Ind_60D_I_AMD">#REF!</definedName>
    <definedName name="F17_Attr_Ind_60D_I_EUR">#REF!</definedName>
    <definedName name="F17_Attr_Ind_60D_I_OthC">#REF!</definedName>
    <definedName name="F17_Attr_Ind_60D_I_RUR">#REF!</definedName>
    <definedName name="F17_Attr_Ind_60D_I_USD">#REF!</definedName>
    <definedName name="F17_Attr_Ind_90D_Am_AMD">#REF!</definedName>
    <definedName name="F17_Attr_Ind_90D_Am_EUR">#REF!</definedName>
    <definedName name="F17_Attr_Ind_90D_Am_OthC">#REF!</definedName>
    <definedName name="F17_Attr_Ind_90D_Am_RUR">#REF!</definedName>
    <definedName name="F17_Attr_Ind_90D_Am_USD">#REF!</definedName>
    <definedName name="F17_Attr_Ind_90D_I_AMD">#REF!</definedName>
    <definedName name="F17_Attr_Ind_90D_I_EUR">#REF!</definedName>
    <definedName name="F17_Attr_Ind_90D_I_OthC">#REF!</definedName>
    <definedName name="F17_Attr_Ind_90D_I_RUR">#REF!</definedName>
    <definedName name="F17_Attr_Ind_90D_I_USD">#REF!</definedName>
    <definedName name="F17_Attr_Ind_Dem_Am_AMD">#REF!</definedName>
    <definedName name="F17_Attr_Ind_Dem_Am_EUR">#REF!</definedName>
    <definedName name="F17_Attr_Ind_Dem_Am_OthC">#REF!</definedName>
    <definedName name="F17_Attr_Ind_Dem_Am_RUR">#REF!</definedName>
    <definedName name="F17_Attr_Ind_Dem_Am_USD">#REF!</definedName>
    <definedName name="F17_Attr_Ind_Dem_I_AMD">#REF!</definedName>
    <definedName name="F17_Attr_Ind_Dem_I_EUR">#REF!</definedName>
    <definedName name="F17_Attr_Ind_Dem_I_OthC">#REF!</definedName>
    <definedName name="F17_Attr_Ind_Dem_I_RUR">#REF!</definedName>
    <definedName name="F17_Attr_Ind_Dem_I_USD">#REF!</definedName>
    <definedName name="F17_Attr_Ind_Mr360D_Am_AMD">#REF!</definedName>
    <definedName name="F17_Attr_Ind_Mr360D_Am_EUR">#REF!</definedName>
    <definedName name="F17_Attr_Ind_Mr360D_Am_OthC">#REF!</definedName>
    <definedName name="F17_Attr_Ind_Mr360D_Am_RUR">#REF!</definedName>
    <definedName name="F17_Attr_Ind_Mr360D_Am_USD">#REF!</definedName>
    <definedName name="F17_Attr_Ind_Mr360D_I_AMD">#REF!</definedName>
    <definedName name="F17_Attr_Ind_Mr360D_I_EUR">#REF!</definedName>
    <definedName name="F17_Attr_Ind_Mr360D_I_OthC">#REF!</definedName>
    <definedName name="F17_Attr_Ind_Mr360D_I_RUR">#REF!</definedName>
    <definedName name="F17_Attr_Ind_Mr360D_I_USD">#REF!</definedName>
    <definedName name="F17_Attr_Ind_Tot_Am_AMD1">#REF!</definedName>
    <definedName name="F17_Attr_Ind_Tot_Am_EUR1">#REF!</definedName>
    <definedName name="F17_Attr_Ind_Tot_Am_OthC1">#REF!</definedName>
    <definedName name="F17_Attr_Ind_Tot_Am_RUR1">#REF!</definedName>
    <definedName name="F17_Attr_Ind_Tot_Am_USD1">#REF!</definedName>
    <definedName name="F17_Attr_Ind_Tot_I_AMD11">#REF!</definedName>
    <definedName name="F17_Attr_Ind_Tot_I_AMD12">#REF!</definedName>
    <definedName name="F17_Attr_Ind_Tot_I_EUR11">#REF!</definedName>
    <definedName name="F17_Attr_Ind_Tot_I_EUR12">#REF!</definedName>
    <definedName name="F17_Attr_Ind_Tot_I_OthC11">#REF!</definedName>
    <definedName name="F17_Attr_Ind_Tot_I_OthC12">#REF!</definedName>
    <definedName name="F17_Attr_Ind_Tot_I_RUR11">#REF!</definedName>
    <definedName name="F17_Attr_Ind_Tot_I_RUR12">#REF!</definedName>
    <definedName name="F17_Attr_Ind_Tot_I_USD11">#REF!</definedName>
    <definedName name="F17_Attr_Ind_Tot_I_USD12">#REF!</definedName>
    <definedName name="F17_Attr_IndCo_Mr360D_Am_OthC">#REF!</definedName>
    <definedName name="F17_Attr_IndCor_15D_Am_AMD">#REF!</definedName>
    <definedName name="F17_Attr_IndCor_15D_Am_EUR">#REF!</definedName>
    <definedName name="F17_Attr_IndCor_15D_Am_OthC">#REF!</definedName>
    <definedName name="F17_Attr_IndCor_15D_Am_RUR">#REF!</definedName>
    <definedName name="F17_Attr_IndCor_15D_Am_USD">#REF!</definedName>
    <definedName name="F17_Attr_IndCor_15D_I_AMD">#REF!</definedName>
    <definedName name="F17_Attr_IndCor_15D_I_EUR">#REF!</definedName>
    <definedName name="F17_Attr_IndCor_15D_I_OthC">#REF!</definedName>
    <definedName name="F17_Attr_IndCor_15D_I_RUR">#REF!</definedName>
    <definedName name="F17_Attr_IndCor_15D_I_USD">#REF!</definedName>
    <definedName name="F17_Attr_IndCor_180D_Am_AMD">#REF!</definedName>
    <definedName name="F17_Attr_IndCor_180D_Am_EUR">#REF!</definedName>
    <definedName name="F17_Attr_IndCor_180D_Am_OthC">#REF!</definedName>
    <definedName name="F17_Attr_IndCor_180D_Am_RUR">#REF!</definedName>
    <definedName name="F17_Attr_IndCor_180D_Am_USD">#REF!</definedName>
    <definedName name="F17_Attr_IndCor_180D_I_AMD">#REF!</definedName>
    <definedName name="F17_Attr_IndCor_180D_I_EUR">#REF!</definedName>
    <definedName name="F17_Attr_IndCor_180D_I_OthC">#REF!</definedName>
    <definedName name="F17_Attr_IndCor_180D_I_RUR">#REF!</definedName>
    <definedName name="F17_Attr_IndCor_180D_I_USD">#REF!</definedName>
    <definedName name="F17_Attr_IndCor_30D_Am_AMD">#REF!</definedName>
    <definedName name="F17_Attr_IndCor_30D_Am_EUR">#REF!</definedName>
    <definedName name="F17_Attr_IndCor_30D_Am_OthC">#REF!</definedName>
    <definedName name="F17_Attr_IndCor_30D_Am_RUR">#REF!</definedName>
    <definedName name="F17_Attr_IndCor_30D_Am_USD">#REF!</definedName>
    <definedName name="F17_Attr_IndCor_30D_I_AMD">#REF!</definedName>
    <definedName name="F17_Attr_IndCor_30D_I_EUR">#REF!</definedName>
    <definedName name="F17_Attr_IndCor_30D_I_OthC">#REF!</definedName>
    <definedName name="F17_Attr_IndCor_30D_I_RUR">#REF!</definedName>
    <definedName name="F17_Attr_IndCor_30D_I_USD">#REF!</definedName>
    <definedName name="F17_Attr_IndCor_360D_Am_AMD">#REF!</definedName>
    <definedName name="F17_Attr_IndCor_360D_Am_EUR">#REF!</definedName>
    <definedName name="F17_Attr_IndCor_360D_Am_OthC">#REF!</definedName>
    <definedName name="F17_Attr_IndCor_360D_Am_RUR">#REF!</definedName>
    <definedName name="F17_Attr_IndCor_360D_Am_USD">#REF!</definedName>
    <definedName name="F17_Attr_IndCor_360D_I_AMD">#REF!</definedName>
    <definedName name="F17_Attr_IndCor_360D_I_EUR">#REF!</definedName>
    <definedName name="F17_Attr_IndCor_360D_I_OthC">#REF!</definedName>
    <definedName name="F17_Attr_IndCor_360D_I_RUR">#REF!</definedName>
    <definedName name="F17_Attr_IndCor_360D_I_USD">#REF!</definedName>
    <definedName name="F17_Attr_IndCor_60D_Am_AMD">#REF!</definedName>
    <definedName name="F17_Attr_IndCor_60D_Am_EUR">#REF!</definedName>
    <definedName name="F17_Attr_IndCor_60D_Am_OthC">#REF!</definedName>
    <definedName name="F17_Attr_IndCor_60D_Am_RUR">#REF!</definedName>
    <definedName name="F17_Attr_IndCor_60D_Am_USD">#REF!</definedName>
    <definedName name="F17_Attr_IndCor_60D_I_AMD">#REF!</definedName>
    <definedName name="F17_Attr_IndCor_60D_I_EUR">#REF!</definedName>
    <definedName name="F17_Attr_IndCor_60D_I_OthC">#REF!</definedName>
    <definedName name="F17_Attr_IndCor_60D_I_RUR">#REF!</definedName>
    <definedName name="F17_Attr_IndCor_60D_I_USD">#REF!</definedName>
    <definedName name="F17_Attr_IndCor_90D_Am_AMD">#REF!</definedName>
    <definedName name="F17_Attr_IndCor_90D_Am_EUR">#REF!</definedName>
    <definedName name="F17_Attr_IndCor_90D_Am_OthC">#REF!</definedName>
    <definedName name="F17_Attr_IndCor_90D_Am_RUR">#REF!</definedName>
    <definedName name="F17_Attr_IndCor_90D_Am_USD">#REF!</definedName>
    <definedName name="F17_Attr_IndCor_90D_I_AMD">#REF!</definedName>
    <definedName name="F17_Attr_IndCor_90D_I_EUR">#REF!</definedName>
    <definedName name="F17_Attr_IndCor_90D_I_OthC">#REF!</definedName>
    <definedName name="F17_Attr_IndCor_90D_I_RUR">#REF!</definedName>
    <definedName name="F17_Attr_IndCor_90D_I_USD">#REF!</definedName>
    <definedName name="F17_Attr_IndCor_Dem_Am_AMD">#REF!</definedName>
    <definedName name="F17_Attr_IndCor_Dem_Am_EUR">#REF!</definedName>
    <definedName name="F17_Attr_IndCor_Dem_Am_OthC">#REF!</definedName>
    <definedName name="F17_Attr_IndCor_Dem_Am_RUR">#REF!</definedName>
    <definedName name="F17_Attr_IndCor_Dem_Am_USD">#REF!</definedName>
    <definedName name="F17_Attr_IndCor_Dem_I_AMD">#REF!</definedName>
    <definedName name="F17_Attr_IndCor_Dem_I_EUR">#REF!</definedName>
    <definedName name="F17_Attr_IndCor_Dem_I_OthC">#REF!</definedName>
    <definedName name="F17_Attr_IndCor_Dem_I_RUR">#REF!</definedName>
    <definedName name="F17_Attr_IndCor_Dem_I_USD">#REF!</definedName>
    <definedName name="F17_Attr_IndCor_Mr360D_Am_AMD">#REF!</definedName>
    <definedName name="F17_Attr_IndCor_Mr360D_Am_EUR">#REF!</definedName>
    <definedName name="F17_Attr_IndCor_Mr360D_Am_RUR">#REF!</definedName>
    <definedName name="F17_Attr_IndCor_Mr360D_Am_USD">#REF!</definedName>
    <definedName name="F17_Attr_IndCor_Mr360D_I_AMD">#REF!</definedName>
    <definedName name="F17_Attr_IndCor_Mr360D_I_EUR">#REF!</definedName>
    <definedName name="F17_Attr_IndCor_Mr360D_I_OthC">#REF!</definedName>
    <definedName name="F17_Attr_IndCor_Mr360D_I_RUR">#REF!</definedName>
    <definedName name="F17_Attr_IndCor_Mr360D_I_USD">#REF!</definedName>
    <definedName name="F17_Attr_IndCor_Tot_Am_AMD1">#REF!</definedName>
    <definedName name="F17_Attr_IndCor_Tot_Am_EUR1">#REF!</definedName>
    <definedName name="F17_Attr_IndCor_Tot_Am_OthC1">#REF!</definedName>
    <definedName name="F17_Attr_IndCor_Tot_Am_RUR1">#REF!</definedName>
    <definedName name="F17_Attr_IndCor_Tot_Am_USD1">#REF!</definedName>
    <definedName name="F17_Attr_IndCor_Tot_I_AMD11">#REF!</definedName>
    <definedName name="F17_Attr_IndCor_Tot_I_AMD12">#REF!</definedName>
    <definedName name="F17_Attr_IndCor_Tot_I_EUR11">#REF!</definedName>
    <definedName name="F17_Attr_IndCor_Tot_I_EUR12">#REF!</definedName>
    <definedName name="F17_Attr_IndCor_Tot_I_OthC11">#REF!</definedName>
    <definedName name="F17_Attr_IndCor_Tot_I_OthC12">#REF!</definedName>
    <definedName name="F17_Attr_IndCor_Tot_I_RUR11">#REF!</definedName>
    <definedName name="F17_Attr_IndCor_Tot_I_RUR12">#REF!</definedName>
    <definedName name="F17_Attr_IndCor_Tot_I_USD11">#REF!</definedName>
    <definedName name="F17_Attr_IndCor_Tot_I_USD12">#REF!</definedName>
    <definedName name="F17_Attr_InterPo_Mr360D_Am_AMD">#REF!</definedName>
    <definedName name="F17_Attr_InterPo_Mr360D_Am_EUR">#REF!</definedName>
    <definedName name="F17_Attr_InterPo_Mr360D_Am_Oth">#REF!</definedName>
    <definedName name="F17_Attr_InterPo_Mr360D_Am_RUR">#REF!</definedName>
    <definedName name="F17_Attr_InterPo_Mr360D_Am_USD">#REF!</definedName>
    <definedName name="F17_Attr_InterPo_Mr360D_I_EUR">#REF!</definedName>
    <definedName name="F17_Attr_InterPo_Mr360D_I_Oth">#REF!</definedName>
    <definedName name="F17_Attr_InterPo_Mr360D_I_RUR">#REF!</definedName>
    <definedName name="F17_Attr_InterPo_Mr360D_I_USD">#REF!</definedName>
    <definedName name="F17_Attr_InterPog_15D_Am_AMD">#REF!</definedName>
    <definedName name="F17_Attr_InterPog_15D_Am_EUR">#REF!</definedName>
    <definedName name="F17_Attr_InterPog_15D_Am_OthC">#REF!</definedName>
    <definedName name="F17_Attr_InterPog_15D_Am_RUR">#REF!</definedName>
    <definedName name="F17_Attr_InterPog_15D_Am_USD">#REF!</definedName>
    <definedName name="F17_Attr_InterPog_15D_I_AMD">#REF!</definedName>
    <definedName name="F17_Attr_InterPog_15D_I_EUR">#REF!</definedName>
    <definedName name="F17_Attr_InterPog_15D_I_OthC">#REF!</definedName>
    <definedName name="F17_Attr_InterPog_15D_I_RUR">#REF!</definedName>
    <definedName name="F17_Attr_InterPog_15D_I_USD">#REF!</definedName>
    <definedName name="F17_Attr_InterPog_180D_Am_AMD">#REF!</definedName>
    <definedName name="F17_Attr_InterPog_180D_Am_EUR">#REF!</definedName>
    <definedName name="F17_Attr_InterPog_180D_Am_OthC">#REF!</definedName>
    <definedName name="F17_Attr_InterPog_180D_Am_RUR">#REF!</definedName>
    <definedName name="F17_Attr_InterPog_180D_Am_USD">#REF!</definedName>
    <definedName name="F17_Attr_InterPog_180D_I_AMD">#REF!</definedName>
    <definedName name="F17_Attr_InterPog_180D_I_EUR">#REF!</definedName>
    <definedName name="F17_Attr_InterPog_180D_I_OthC">#REF!</definedName>
    <definedName name="F17_Attr_InterPog_180D_I_RUR">#REF!</definedName>
    <definedName name="F17_Attr_InterPog_180D_I_USD">#REF!</definedName>
    <definedName name="F17_Attr_InterPog_30D_Am_AMD">#REF!</definedName>
    <definedName name="F17_Attr_InterPog_30D_Am_EUR">#REF!</definedName>
    <definedName name="F17_Attr_InterPog_30D_Am_OthC">#REF!</definedName>
    <definedName name="F17_Attr_InterPog_30D_Am_RUR">#REF!</definedName>
    <definedName name="F17_Attr_InterPog_30D_Am_USD">#REF!</definedName>
    <definedName name="F17_Attr_InterPog_30D_I_AMD">#REF!</definedName>
    <definedName name="F17_Attr_InterPog_30D_I_EUR">#REF!</definedName>
    <definedName name="F17_Attr_InterPog_30D_I_OthC">#REF!</definedName>
    <definedName name="F17_Attr_InterPog_30D_I_RUR">#REF!</definedName>
    <definedName name="F17_Attr_InterPog_30D_I_USD">#REF!</definedName>
    <definedName name="F17_Attr_InterPog_360D_Am_AMD">#REF!</definedName>
    <definedName name="F17_Attr_InterPog_360D_Am_EUR">#REF!</definedName>
    <definedName name="F17_Attr_InterPog_360D_Am_OthC">#REF!</definedName>
    <definedName name="F17_Attr_InterPog_360D_Am_RUR">#REF!</definedName>
    <definedName name="F17_Attr_InterPog_360D_Am_USD">#REF!</definedName>
    <definedName name="F17_Attr_InterPog_360D_I_AMD">#REF!</definedName>
    <definedName name="F17_Attr_InterPog_360D_I_EUR">#REF!</definedName>
    <definedName name="F17_Attr_InterPog_360D_I_OthC">#REF!</definedName>
    <definedName name="F17_Attr_InterPog_360D_I_RUR">#REF!</definedName>
    <definedName name="F17_Attr_InterPog_360D_I_USD">#REF!</definedName>
    <definedName name="F17_Attr_InterPog_60D_Am_AMD">#REF!</definedName>
    <definedName name="F17_Attr_InterPog_60D_Am_EUR">#REF!</definedName>
    <definedName name="F17_Attr_InterPog_60D_Am_OthC">#REF!</definedName>
    <definedName name="F17_Attr_InterPog_60D_Am_RUR">#REF!</definedName>
    <definedName name="F17_Attr_InterPog_60D_Am_USD">#REF!</definedName>
    <definedName name="F17_Attr_InterPog_60D_I_AMD">#REF!</definedName>
    <definedName name="F17_Attr_InterPog_60D_I_EUR">#REF!</definedName>
    <definedName name="F17_Attr_InterPog_60D_I_OthC">#REF!</definedName>
    <definedName name="F17_Attr_InterPog_60D_I_RUR">#REF!</definedName>
    <definedName name="F17_Attr_InterPog_60D_I_USD">#REF!</definedName>
    <definedName name="F17_Attr_InterPog_90D_Am_AMD">#REF!</definedName>
    <definedName name="F17_Attr_InterPog_90D_Am_EUR">#REF!</definedName>
    <definedName name="F17_Attr_InterPog_90D_Am_OthC">#REF!</definedName>
    <definedName name="F17_Attr_InterPog_90D_Am_RUR">#REF!</definedName>
    <definedName name="F17_Attr_InterPog_90D_Am_USD">#REF!</definedName>
    <definedName name="F17_Attr_InterPog_90D_I_AMD">#REF!</definedName>
    <definedName name="F17_Attr_InterPog_90D_I_EUR">#REF!</definedName>
    <definedName name="F17_Attr_InterPog_90D_I_OthC">#REF!</definedName>
    <definedName name="F17_Attr_InterPog_90D_I_RUR">#REF!</definedName>
    <definedName name="F17_Attr_InterPog_90D_I_USD">#REF!</definedName>
    <definedName name="F17_Attr_InterPog_Dem_Am_AMD">#REF!</definedName>
    <definedName name="F17_Attr_InterPog_Dem_Am_EUR">#REF!</definedName>
    <definedName name="F17_Attr_InterPog_Dem_Am_OthC">#REF!</definedName>
    <definedName name="F17_Attr_InterPog_Dem_Am_RUR">#REF!</definedName>
    <definedName name="F17_Attr_InterPog_Dem_Am_USD">#REF!</definedName>
    <definedName name="F17_Attr_InterPog_Dem_I_AMD">#REF!</definedName>
    <definedName name="F17_Attr_InterPog_Dem_I_EUR">#REF!</definedName>
    <definedName name="F17_Attr_InterPog_Dem_I_OthC">#REF!</definedName>
    <definedName name="F17_Attr_InterPog_Dem_I_RUR">#REF!</definedName>
    <definedName name="F17_Attr_InterPog_Dem_I_USD">#REF!</definedName>
    <definedName name="F17_Attr_InterPog_Mr360D_I_AMD">#REF!</definedName>
    <definedName name="F17_Attr_InterPog_Tot_Am_AMD1">#REF!</definedName>
    <definedName name="F17_Attr_InterPog_Tot_Am_EUR1">#REF!</definedName>
    <definedName name="F17_Attr_InterPog_Tot_Am_OthC1">#REF!</definedName>
    <definedName name="F17_Attr_InterPog_Tot_Am_RUR1">#REF!</definedName>
    <definedName name="F17_Attr_InterPog_Tot_Am_USD1">#REF!</definedName>
    <definedName name="F17_Attr_InterPog_Tot_I_AMD11">#REF!</definedName>
    <definedName name="F17_Attr_InterPog_Tot_I_AMD12">#REF!</definedName>
    <definedName name="F17_Attr_InterPog_Tot_I_EUR11">#REF!</definedName>
    <definedName name="F17_Attr_InterPog_Tot_I_EUR12">#REF!</definedName>
    <definedName name="F17_Attr_InterPog_Tot_I_OthC11">#REF!</definedName>
    <definedName name="F17_Attr_InterPog_Tot_I_OthC12">#REF!</definedName>
    <definedName name="F17_Attr_InterPog_Tot_I_RUR11">#REF!</definedName>
    <definedName name="F17_Attr_InterPog_Tot_I_RUR12">#REF!</definedName>
    <definedName name="F17_Attr_InterPog_Tot_I_USD11">#REF!</definedName>
    <definedName name="F17_Attr_InterPog_Tot_I_USD12">#REF!</definedName>
    <definedName name="F17_Attr_OthBnk_15D_Am_AMD">#REF!</definedName>
    <definedName name="F17_Attr_OthBnk_15D_Am_EUR">#REF!</definedName>
    <definedName name="F17_Attr_OthBnk_15D_Am_OthC">#REF!</definedName>
    <definedName name="F17_Attr_OthBnk_15D_Am_RUR">#REF!</definedName>
    <definedName name="F17_Attr_OthBnk_15D_Am_USD">#REF!</definedName>
    <definedName name="F17_Attr_OthBnk_15D_I_AMD">#REF!</definedName>
    <definedName name="F17_Attr_OthBnk_15D_I_EUR">#REF!</definedName>
    <definedName name="F17_Attr_OthBnk_15D_I_OthC">#REF!</definedName>
    <definedName name="F17_Attr_OthBnk_15D_I_RUR">#REF!</definedName>
    <definedName name="F17_Attr_OthBnk_15D_I_USD">#REF!</definedName>
    <definedName name="F17_Attr_OthBnk_180D_Am_AMD">#REF!</definedName>
    <definedName name="F17_Attr_OthBnk_180D_Am_EUR">#REF!</definedName>
    <definedName name="F17_Attr_OthBnk_180D_Am_OthC">#REF!</definedName>
    <definedName name="F17_Attr_OthBnk_180D_Am_RUR">#REF!</definedName>
    <definedName name="F17_Attr_OthBnk_180D_Am_USD">#REF!</definedName>
    <definedName name="F17_Attr_OthBnk_180D_I_AMD">#REF!</definedName>
    <definedName name="F17_Attr_OthBnk_180D_I_EUR">#REF!</definedName>
    <definedName name="F17_Attr_OthBnk_180D_I_OthC">#REF!</definedName>
    <definedName name="F17_Attr_OthBnk_180D_I_RUR">#REF!</definedName>
    <definedName name="F17_Attr_OthBnk_180D_I_USD">#REF!</definedName>
    <definedName name="F17_Attr_OthBnk_30D_Am_AMD">#REF!</definedName>
    <definedName name="F17_Attr_OthBnk_30D_Am_EUR">#REF!</definedName>
    <definedName name="F17_Attr_OthBnk_30D_Am_OthC">#REF!</definedName>
    <definedName name="F17_Attr_OthBnk_30D_Am_RUR">#REF!</definedName>
    <definedName name="F17_Attr_OthBnk_30D_Am_USD">#REF!</definedName>
    <definedName name="F17_Attr_OthBnk_30D_I_AMD">#REF!</definedName>
    <definedName name="F17_Attr_OthBnk_30D_I_EUR">#REF!</definedName>
    <definedName name="F17_Attr_OthBnk_30D_I_OthC">#REF!</definedName>
    <definedName name="F17_Attr_OthBnk_30D_I_RUR">#REF!</definedName>
    <definedName name="F17_Attr_OthBnk_30D_I_USD">#REF!</definedName>
    <definedName name="F17_Attr_OthBnk_360D_Am_AMD">#REF!</definedName>
    <definedName name="F17_Attr_OthBnk_360D_Am_EUR">#REF!</definedName>
    <definedName name="F17_Attr_OthBnk_360D_Am_OthC">#REF!</definedName>
    <definedName name="F17_Attr_OthBnk_360D_Am_RUR">#REF!</definedName>
    <definedName name="F17_Attr_OthBnk_360D_Am_USD">#REF!</definedName>
    <definedName name="F17_Attr_OthBnk_360D_I_AMD">#REF!</definedName>
    <definedName name="F17_Attr_OthBnk_360D_I_EUR">#REF!</definedName>
    <definedName name="F17_Attr_OthBnk_360D_I_OthC">#REF!</definedName>
    <definedName name="F17_Attr_OthBnk_360D_I_RUR">#REF!</definedName>
    <definedName name="F17_Attr_OthBnk_360D_I_USD">#REF!</definedName>
    <definedName name="F17_Attr_OthBnk_60D_Am_AMD">#REF!</definedName>
    <definedName name="F17_Attr_OthBnk_60D_Am_EUR">#REF!</definedName>
    <definedName name="F17_Attr_OthBnk_60D_Am_OthC">#REF!</definedName>
    <definedName name="F17_Attr_OthBnk_60D_Am_RUR">#REF!</definedName>
    <definedName name="F17_Attr_OthBnk_60D_Am_USD">#REF!</definedName>
    <definedName name="F17_Attr_OthBnk_60D_I_AMD">#REF!</definedName>
    <definedName name="F17_Attr_OthBnk_60D_I_EUR">#REF!</definedName>
    <definedName name="F17_Attr_OthBnk_60D_I_OthC">#REF!</definedName>
    <definedName name="F17_Attr_OthBnk_60D_I_RUR">#REF!</definedName>
    <definedName name="F17_Attr_OthBnk_60D_I_USD">#REF!</definedName>
    <definedName name="F17_Attr_OthBnk_90D_Am_AMD">#REF!</definedName>
    <definedName name="F17_Attr_OthBnk_90D_Am_EUR">#REF!</definedName>
    <definedName name="F17_Attr_OthBnk_90D_Am_OthC">#REF!</definedName>
    <definedName name="F17_Attr_OthBnk_90D_Am_RUR">#REF!</definedName>
    <definedName name="F17_Attr_OthBnk_90D_Am_USD">#REF!</definedName>
    <definedName name="F17_Attr_OthBnk_90D_I_AMD">#REF!</definedName>
    <definedName name="F17_Attr_OthBnk_90D_I_EUR">#REF!</definedName>
    <definedName name="F17_Attr_OthBnk_90D_I_OthC">#REF!</definedName>
    <definedName name="F17_Attr_OthBnk_90D_I_RUR">#REF!</definedName>
    <definedName name="F17_Attr_OthBnk_90D_I_USD">#REF!</definedName>
    <definedName name="F17_Attr_OthBnk_Dem_Am_AMD">#REF!</definedName>
    <definedName name="F17_Attr_OthBnk_Dem_Am_EUR">#REF!</definedName>
    <definedName name="F17_Attr_OthBnk_Dem_Am_OthC">#REF!</definedName>
    <definedName name="F17_Attr_OthBnk_Dem_Am_RUR">#REF!</definedName>
    <definedName name="F17_Attr_OthBnk_Dem_Am_USD">#REF!</definedName>
    <definedName name="F17_Attr_OthBnk_Dem_I_AMD">#REF!</definedName>
    <definedName name="F17_Attr_OthBnk_Dem_I_EUR">#REF!</definedName>
    <definedName name="F17_Attr_OthBnk_Dem_I_OthC">#REF!</definedName>
    <definedName name="F17_Attr_OthBnk_Dem_I_RUR">#REF!</definedName>
    <definedName name="F17_Attr_OthBnk_Dem_I_USD">#REF!</definedName>
    <definedName name="F17_Attr_OthBnk_Mr360D_Am_AMD">#REF!</definedName>
    <definedName name="F17_Attr_OthBnk_Mr360D_Am_EUR">#REF!</definedName>
    <definedName name="F17_Attr_OthBnk_Mr360D_Am_OthC">#REF!</definedName>
    <definedName name="F17_Attr_OthBnk_Mr360D_Am_RUR">#REF!</definedName>
    <definedName name="F17_Attr_OthBnk_Mr360D_Am_USD">#REF!</definedName>
    <definedName name="F17_Attr_OthBnk_Mr360D_I_AMD">#REF!</definedName>
    <definedName name="F17_Attr_OthBnk_Mr360D_I_EUR">#REF!</definedName>
    <definedName name="F17_Attr_OthBnk_Mr360D_I_OthC">#REF!</definedName>
    <definedName name="F17_Attr_OthBnk_Mr360D_I_RUR">#REF!</definedName>
    <definedName name="F17_Attr_OthBnk_Mr360D_I_USD">#REF!</definedName>
    <definedName name="F17_Attr_OthBnk_Tot_Am_AMD1">#REF!</definedName>
    <definedName name="F17_Attr_OthBnk_Tot_Am_EUR1">#REF!</definedName>
    <definedName name="F17_Attr_OthBnk_Tot_Am_OthC1">#REF!</definedName>
    <definedName name="F17_Attr_OthBnk_Tot_Am_RUR1">#REF!</definedName>
    <definedName name="F17_Attr_OthBnk_Tot_Am_USD1">#REF!</definedName>
    <definedName name="F17_Attr_OthBnk_Tot_I_AMD11">#REF!</definedName>
    <definedName name="F17_Attr_OthBnk_Tot_I_AMD12">#REF!</definedName>
    <definedName name="F17_Attr_OthBnk_Tot_I_EUR11">#REF!</definedName>
    <definedName name="F17_Attr_OthBnk_Tot_I_EUR12">#REF!</definedName>
    <definedName name="F17_Attr_OthBnk_Tot_I_OthC11">#REF!</definedName>
    <definedName name="F17_Attr_OthBnk_Tot_I_OthC12">#REF!</definedName>
    <definedName name="F17_Attr_OthBnk_Tot_I_RUR11">#REF!</definedName>
    <definedName name="F17_Attr_OthBnk_Tot_I_RUR12">#REF!</definedName>
    <definedName name="F17_Attr_OthBnk_Tot_I_USD11">#REF!</definedName>
    <definedName name="F17_Attr_OthBnk_Tot_I_USD12">#REF!</definedName>
    <definedName name="F17_Attr_RRepo_15D_Am_ABnk">#REF!</definedName>
    <definedName name="F17_Attr_RRepo_15D_Am_Bus">#REF!</definedName>
    <definedName name="F17_Attr_RRepo_15D_Am_Ind">#REF!</definedName>
    <definedName name="F17_Attr_RRepo_15D_Am_OthBn">#REF!</definedName>
    <definedName name="F17_Attr_RRepo_15D_I_ABnk">#REF!</definedName>
    <definedName name="F17_Attr_RRepo_15D_I_Bus">#REF!</definedName>
    <definedName name="F17_Attr_RRepo_15D_I_Ind">#REF!</definedName>
    <definedName name="F17_Attr_RRepo_15D_I_OthBn">#REF!</definedName>
    <definedName name="F17_Attr_RRepo_180D_Am_ABnk">#REF!</definedName>
    <definedName name="F17_Attr_RRepo_180D_Am_Bus">#REF!</definedName>
    <definedName name="F17_Attr_RRepo_180D_Am_Ind">#REF!</definedName>
    <definedName name="F17_Attr_RRepo_180D_Am_OthBn">#REF!</definedName>
    <definedName name="F17_Attr_RRepo_180D_I_ABnk">#REF!</definedName>
    <definedName name="F17_Attr_RRepo_180D_I_Bus">#REF!</definedName>
    <definedName name="F17_Attr_RRepo_180D_I_Ind">#REF!</definedName>
    <definedName name="F17_Attr_RRepo_180D_I_OthBn">#REF!</definedName>
    <definedName name="F17_Attr_RRepo_30D_Am_ABnk">#REF!</definedName>
    <definedName name="F17_Attr_RRepo_30D_Am_Bus">#REF!</definedName>
    <definedName name="F17_Attr_RRepo_30D_Am_Ind">#REF!</definedName>
    <definedName name="F17_Attr_RRepo_30D_Am_OthBn">#REF!</definedName>
    <definedName name="F17_Attr_RRepo_30D_I_ABnk">#REF!</definedName>
    <definedName name="F17_Attr_RRepo_30D_I_Bus">#REF!</definedName>
    <definedName name="F17_Attr_RRepo_30D_I_Ind">#REF!</definedName>
    <definedName name="F17_Attr_RRepo_30D_I_OthBn">#REF!</definedName>
    <definedName name="F17_Attr_RRepo_360D_Am_ABnk">#REF!</definedName>
    <definedName name="F17_Attr_RRepo_360D_Am_Bus">#REF!</definedName>
    <definedName name="F17_Attr_RRepo_360D_Am_Ind">#REF!</definedName>
    <definedName name="F17_Attr_RRepo_360D_Am_OthBn">#REF!</definedName>
    <definedName name="F17_Attr_RRepo_360D_I_ABnk">#REF!</definedName>
    <definedName name="F17_Attr_RRepo_360D_I_Bus">#REF!</definedName>
    <definedName name="F17_Attr_RRepo_360D_I_Ind">#REF!</definedName>
    <definedName name="F17_Attr_RRepo_360D_I_OthBn">#REF!</definedName>
    <definedName name="F17_Attr_RRepo_60D_Am_ABnk">#REF!</definedName>
    <definedName name="F17_Attr_RRepo_60D_Am_Bus">#REF!</definedName>
    <definedName name="F17_Attr_RRepo_60D_Am_Ind">#REF!</definedName>
    <definedName name="F17_Attr_RRepo_60D_Am_OthBn">#REF!</definedName>
    <definedName name="F17_Attr_RRepo_60D_I_ABnk">#REF!</definedName>
    <definedName name="F17_Attr_RRepo_60D_I_Bus">#REF!</definedName>
    <definedName name="F17_Attr_RRepo_60D_I_Ind">#REF!</definedName>
    <definedName name="F17_Attr_RRepo_60D_I_OthBn">#REF!</definedName>
    <definedName name="F17_Attr_RRepo_90D_Am_ABnk">#REF!</definedName>
    <definedName name="F17_Attr_RRepo_90D_Am_Bus">#REF!</definedName>
    <definedName name="F17_Attr_RRepo_90D_Am_Ind">#REF!</definedName>
    <definedName name="F17_Attr_RRepo_90D_Am_OthBn">#REF!</definedName>
    <definedName name="F17_Attr_RRepo_90D_I_ABnk">#REF!</definedName>
    <definedName name="F17_Attr_RRepo_90D_I_Bus">#REF!</definedName>
    <definedName name="F17_Attr_RRepo_90D_I_Ind">#REF!</definedName>
    <definedName name="F17_Attr_RRepo_90D_I_OthBn">#REF!</definedName>
    <definedName name="F17_Attr_RRepo_Dem_Am_ABnk">#REF!</definedName>
    <definedName name="F17_Attr_RRepo_Dem_Am_Bus">#REF!</definedName>
    <definedName name="F17_Attr_RRepo_Dem_Am_Ind">#REF!</definedName>
    <definedName name="F17_Attr_RRepo_Dem_Am_OthBn">#REF!</definedName>
    <definedName name="F17_Attr_RRepo_Dem_I_ABnk">#REF!</definedName>
    <definedName name="F17_Attr_RRepo_Dem_I_Bus">#REF!</definedName>
    <definedName name="F17_Attr_RRepo_Dem_I_Ind">#REF!</definedName>
    <definedName name="F17_Attr_RRepo_Dem_I_OthBn">#REF!</definedName>
    <definedName name="F17_Attr_RRepo_Mr360D_Am_ABnk">#REF!</definedName>
    <definedName name="F17_Attr_RRepo_Mr360D_Am_Bus">#REF!</definedName>
    <definedName name="F17_Attr_RRepo_Mr360D_Am_Ind">#REF!</definedName>
    <definedName name="F17_Attr_RRepo_Mr360D_Am_OthBn">#REF!</definedName>
    <definedName name="F17_Attr_RRepo_Mr360D_I_ABnk">#REF!</definedName>
    <definedName name="F17_Attr_RRepo_Mr360D_I_Bus">#REF!</definedName>
    <definedName name="F17_Attr_RRepo_Mr360D_I_Ind">#REF!</definedName>
    <definedName name="F17_Attr_RRepo_Mr360D_I_OthBn">#REF!</definedName>
    <definedName name="F17_Attr_RRepo_Tot_Am_ABnk1">#REF!</definedName>
    <definedName name="F17_Attr_RRepo_Tot_Am_Bus1">#REF!</definedName>
    <definedName name="F17_Attr_RRepo_Tot_Am_Ind1">#REF!</definedName>
    <definedName name="F17_Attr_RRepo_Tot_Am_OthBn1">#REF!</definedName>
    <definedName name="F17_Attr_RRepo_Tot_I_Bnk11">#REF!</definedName>
    <definedName name="F17_Attr_RRepo_Tot_I_Bnk12">#REF!</definedName>
    <definedName name="F17_Attr_RRepo_Tot_I_Bus11">#REF!</definedName>
    <definedName name="F17_Attr_RRepo_Tot_I_Bus12">#REF!</definedName>
    <definedName name="F17_Attr_RRepo_Tot_I_Ind11">#REF!</definedName>
    <definedName name="F17_Attr_RRepo_Tot_I_Ind12">#REF!</definedName>
    <definedName name="F17_Attr_RRepo_Tot_I_OthBn11">#REF!</definedName>
    <definedName name="F17_Attr_RRepo_Tot_I_OthBn12">#REF!</definedName>
    <definedName name="F17_Attr_RRepoF_Mr360D_Am">#REF!</definedName>
    <definedName name="F17_Attr_RRepoFX_15D_Am">#REF!</definedName>
    <definedName name="F17_Attr_RRepoFX_15D_I">#REF!</definedName>
    <definedName name="F17_Attr_RRepoFX_180D_Am">#REF!</definedName>
    <definedName name="F17_Attr_RRepoFX_180D_I">#REF!</definedName>
    <definedName name="F17_Attr_RRepoFX_30D_Am">#REF!</definedName>
    <definedName name="F17_Attr_RRepoFX_30D_I">#REF!</definedName>
    <definedName name="F17_Attr_RRepoFX_360D_Am">#REF!</definedName>
    <definedName name="F17_Attr_RRepoFX_360D_I">#REF!</definedName>
    <definedName name="F17_Attr_RRepoFX_60D_Am">#REF!</definedName>
    <definedName name="F17_Attr_RRepoFX_60D_I">#REF!</definedName>
    <definedName name="F17_Attr_RRepoFX_90D_Am">#REF!</definedName>
    <definedName name="F17_Attr_RRepoFX_90D_I">#REF!</definedName>
    <definedName name="F17_Attr_RRepoFX_Dem_Am">#REF!</definedName>
    <definedName name="F17_Attr_RRepoFX_Dem_I">#REF!</definedName>
    <definedName name="F17_Attr_RRepoFX_Mr360D_I">#REF!</definedName>
    <definedName name="F17_Attr_RRepoFX_Tot_Am1">#REF!</definedName>
    <definedName name="F17_Attr_RRepoFX_Tot_I11">#REF!</definedName>
    <definedName name="F17_Attr_RRepoFX_Tot_I12">#REF!</definedName>
    <definedName name="F17_Tot_Am_AMD">#REF!</definedName>
    <definedName name="F17_Tot_Am_AMD1">#REF!</definedName>
    <definedName name="F17_Tot_Am_EUR">#REF!</definedName>
    <definedName name="F17_Tot_Am_EUR1">#REF!</definedName>
    <definedName name="F17_Tot_Am_OthC">#REF!</definedName>
    <definedName name="F17_Tot_Am_OthC1">#REF!</definedName>
    <definedName name="F17_Tot_Am_RUR">#REF!</definedName>
    <definedName name="F17_Tot_Am_RUR1">#REF!</definedName>
    <definedName name="F17_Tot_Am_USD">#REF!</definedName>
    <definedName name="F17_Tot_Am_USD1">#REF!</definedName>
    <definedName name="F17_Tot_AMD">#REF!</definedName>
    <definedName name="F17_Tot_AMD1">#REF!</definedName>
    <definedName name="F17_Tot_EUR">#REF!</definedName>
    <definedName name="F17_Tot_EUR1">#REF!</definedName>
    <definedName name="F17_Tot_I_AMD">#REF!</definedName>
    <definedName name="F17_Tot_I_AMD1">#REF!</definedName>
    <definedName name="F17_Tot_I_EUR">#REF!</definedName>
    <definedName name="F17_Tot_I_EUR1">#REF!</definedName>
    <definedName name="F17_Tot_I_OthC">#REF!</definedName>
    <definedName name="F17_Tot_I_OthC1">#REF!</definedName>
    <definedName name="F17_Tot_I_RUR">#REF!</definedName>
    <definedName name="F17_Tot_I_RUR1">#REF!</definedName>
    <definedName name="F17_Tot_I_USD">#REF!</definedName>
    <definedName name="F17_Tot_I_USD1">#REF!</definedName>
    <definedName name="F17_Tot_OthC">#REF!</definedName>
    <definedName name="F17_Tot_OthC1">#REF!</definedName>
    <definedName name="F17_Tot_RUR">#REF!</definedName>
    <definedName name="F17_Tot_RUR1">#REF!</definedName>
    <definedName name="F17_Tot_USD">#REF!</definedName>
    <definedName name="F17_Tot_USD1">#REF!</definedName>
    <definedName name="g">#REF!</definedName>
    <definedName name="i">#REF!</definedName>
    <definedName name="ii">'[3]Ü»ñ·ñ³íí³Í'!$E$5</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 localSheetId="2">#REF!</definedName>
    <definedName name="j">#REF!</definedName>
    <definedName name="k">#REF!</definedName>
    <definedName name="l">#REF!</definedName>
    <definedName name="ll">#REF!</definedName>
    <definedName name="lll">#REF!</definedName>
    <definedName name="m">#REF!</definedName>
    <definedName name="mm">#REF!</definedName>
    <definedName name="mmmm">#REF!</definedName>
    <definedName name="mmmmmm">#REF!</definedName>
    <definedName name="Name">#REF!</definedName>
    <definedName name="ppp">#REF!</definedName>
    <definedName name="ppppp">#REF!</definedName>
    <definedName name="RetName">#REF!</definedName>
    <definedName name="rrr">#REF!</definedName>
    <definedName name="s">#REF!</definedName>
    <definedName name="ttt">#REF!</definedName>
    <definedName name="ttttt">#REF!</definedName>
    <definedName name="ttttttt">#REF!</definedName>
    <definedName name="uuu">#REF!</definedName>
    <definedName name="yy">#REF!</definedName>
    <definedName name="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 l="1"/>
  <c r="F20" i="9"/>
  <c r="F28" i="9" s="1"/>
  <c r="G20" i="9"/>
  <c r="G28" i="9" s="1"/>
  <c r="H20" i="9"/>
  <c r="H28" i="9" s="1"/>
  <c r="I25" i="9"/>
  <c r="J22" i="9"/>
  <c r="J30" i="9" s="1"/>
  <c r="K22" i="9"/>
  <c r="K30" i="9" s="1"/>
  <c r="L25" i="9"/>
  <c r="M22" i="9"/>
  <c r="M30" i="9" s="1"/>
  <c r="N24" i="9"/>
  <c r="O21" i="9"/>
  <c r="O29" i="9" s="1"/>
  <c r="P21" i="9"/>
  <c r="P29" i="9" s="1"/>
  <c r="T20" i="9"/>
  <c r="T28" i="9" s="1"/>
  <c r="U27" i="9"/>
  <c r="C16" i="9"/>
  <c r="C24" i="9" s="1"/>
  <c r="D16" i="9"/>
  <c r="D24" i="9" s="1"/>
  <c r="E16" i="9"/>
  <c r="E24" i="9" s="1"/>
  <c r="F16" i="9"/>
  <c r="F24" i="9" s="1"/>
  <c r="G16" i="9"/>
  <c r="G24" i="9" s="1"/>
  <c r="H16" i="9"/>
  <c r="H24" i="9" s="1"/>
  <c r="I16" i="9"/>
  <c r="I24" i="9" s="1"/>
  <c r="J16" i="9"/>
  <c r="J24" i="9" s="1"/>
  <c r="K16" i="9"/>
  <c r="K24" i="9" s="1"/>
  <c r="L16" i="9"/>
  <c r="M16" i="9"/>
  <c r="N16" i="9"/>
  <c r="O16" i="9"/>
  <c r="P16" i="9"/>
  <c r="Q16" i="9"/>
  <c r="Q24" i="9" s="1"/>
  <c r="R16" i="9"/>
  <c r="R24" i="9" s="1"/>
  <c r="S16" i="9"/>
  <c r="S24" i="9" s="1"/>
  <c r="T16" i="9"/>
  <c r="T24" i="9" s="1"/>
  <c r="U16" i="9"/>
  <c r="U24" i="9" s="1"/>
  <c r="C17" i="9"/>
  <c r="D17" i="9"/>
  <c r="E17" i="9"/>
  <c r="E23" i="9" s="1"/>
  <c r="E31" i="9" s="1"/>
  <c r="F17" i="9"/>
  <c r="G17" i="9"/>
  <c r="H17" i="9"/>
  <c r="I17" i="9"/>
  <c r="J17" i="9"/>
  <c r="K17" i="9"/>
  <c r="L17" i="9"/>
  <c r="M17" i="9"/>
  <c r="N17" i="9"/>
  <c r="O17" i="9"/>
  <c r="P17" i="9"/>
  <c r="Q17" i="9"/>
  <c r="R17" i="9"/>
  <c r="S17" i="9"/>
  <c r="S23" i="9" s="1"/>
  <c r="S31" i="9" s="1"/>
  <c r="T17" i="9"/>
  <c r="U17" i="9"/>
  <c r="C18" i="9"/>
  <c r="D18" i="9"/>
  <c r="E18" i="9"/>
  <c r="F18" i="9"/>
  <c r="G18" i="9"/>
  <c r="H18" i="9"/>
  <c r="I18" i="9"/>
  <c r="J18" i="9"/>
  <c r="K18" i="9"/>
  <c r="L18" i="9"/>
  <c r="M18" i="9"/>
  <c r="N18" i="9"/>
  <c r="O18" i="9"/>
  <c r="P18" i="9"/>
  <c r="Q18" i="9"/>
  <c r="R18" i="9"/>
  <c r="S18" i="9"/>
  <c r="T18" i="9"/>
  <c r="U18" i="9"/>
  <c r="C19" i="9"/>
  <c r="D19" i="9"/>
  <c r="E19" i="9"/>
  <c r="F19" i="9"/>
  <c r="G19" i="9"/>
  <c r="H19" i="9"/>
  <c r="I19" i="9"/>
  <c r="J19" i="9"/>
  <c r="K19" i="9"/>
  <c r="L19" i="9"/>
  <c r="M19" i="9"/>
  <c r="N19" i="9"/>
  <c r="O19" i="9"/>
  <c r="P19" i="9"/>
  <c r="Q19" i="9"/>
  <c r="R19" i="9"/>
  <c r="S19" i="9"/>
  <c r="T19" i="9"/>
  <c r="U19" i="9"/>
  <c r="C20" i="9"/>
  <c r="C28" i="9" s="1"/>
  <c r="D20" i="9"/>
  <c r="D28" i="9" s="1"/>
  <c r="E20" i="9"/>
  <c r="E28" i="9" s="1"/>
  <c r="Q20" i="9"/>
  <c r="Q28" i="9" s="1"/>
  <c r="R20" i="9"/>
  <c r="R28" i="9" s="1"/>
  <c r="S20" i="9"/>
  <c r="S28" i="9" s="1"/>
  <c r="C21" i="9"/>
  <c r="C29" i="9" s="1"/>
  <c r="D21" i="9"/>
  <c r="D29" i="9" s="1"/>
  <c r="E21" i="9"/>
  <c r="E29" i="9" s="1"/>
  <c r="F21" i="9"/>
  <c r="F29" i="9" s="1"/>
  <c r="G21" i="9"/>
  <c r="G29" i="9" s="1"/>
  <c r="H21" i="9"/>
  <c r="H29" i="9" s="1"/>
  <c r="I21" i="9"/>
  <c r="I29" i="9" s="1"/>
  <c r="J21" i="9"/>
  <c r="J29" i="9" s="1"/>
  <c r="K21" i="9"/>
  <c r="K29" i="9" s="1"/>
  <c r="L21" i="9"/>
  <c r="L29" i="9" s="1"/>
  <c r="M21" i="9"/>
  <c r="M29" i="9" s="1"/>
  <c r="N21" i="9"/>
  <c r="N29" i="9" s="1"/>
  <c r="Q21" i="9"/>
  <c r="Q29" i="9" s="1"/>
  <c r="R21" i="9"/>
  <c r="R29" i="9" s="1"/>
  <c r="S21" i="9"/>
  <c r="S29" i="9" s="1"/>
  <c r="T21" i="9"/>
  <c r="T29" i="9" s="1"/>
  <c r="U21" i="9"/>
  <c r="U29" i="9" s="1"/>
  <c r="C22" i="9"/>
  <c r="C30" i="9" s="1"/>
  <c r="D22" i="9"/>
  <c r="D30" i="9" s="1"/>
  <c r="E22" i="9"/>
  <c r="E30" i="9" s="1"/>
  <c r="F22" i="9"/>
  <c r="F30" i="9" s="1"/>
  <c r="G22" i="9"/>
  <c r="G30" i="9" s="1"/>
  <c r="H22" i="9"/>
  <c r="H30" i="9" s="1"/>
  <c r="I22" i="9"/>
  <c r="I30" i="9" s="1"/>
  <c r="Q22" i="9"/>
  <c r="Q30" i="9" s="1"/>
  <c r="R22" i="9"/>
  <c r="R30" i="9" s="1"/>
  <c r="S22" i="9"/>
  <c r="S30" i="9" s="1"/>
  <c r="T22" i="9"/>
  <c r="T30" i="9" s="1"/>
  <c r="U22" i="9"/>
  <c r="U30" i="9" s="1"/>
  <c r="C23" i="9"/>
  <c r="C31" i="9" s="1"/>
  <c r="D23" i="9"/>
  <c r="D31" i="9" s="1"/>
  <c r="Q23" i="9"/>
  <c r="Q31" i="9" s="1"/>
  <c r="R23" i="9"/>
  <c r="R31" i="9" s="1"/>
  <c r="L24" i="9"/>
  <c r="M24" i="9"/>
  <c r="C25" i="9"/>
  <c r="D25" i="9"/>
  <c r="E25" i="9"/>
  <c r="F25" i="9"/>
  <c r="G25" i="9"/>
  <c r="H25" i="9"/>
  <c r="Q25" i="9"/>
  <c r="R25" i="9"/>
  <c r="S25" i="9"/>
  <c r="T25" i="9"/>
  <c r="U25" i="9"/>
  <c r="C27" i="9"/>
  <c r="D27" i="9"/>
  <c r="E27" i="9"/>
  <c r="I27" i="9"/>
  <c r="Q27" i="9"/>
  <c r="R27" i="9"/>
  <c r="S27" i="9"/>
  <c r="D17" i="7"/>
  <c r="D58" i="9"/>
  <c r="D59" i="9"/>
  <c r="D60" i="9"/>
  <c r="D61" i="9"/>
  <c r="D62" i="9"/>
  <c r="E58" i="9"/>
  <c r="E59" i="9"/>
  <c r="E60" i="9"/>
  <c r="E61" i="9"/>
  <c r="E62" i="9"/>
  <c r="F58" i="9"/>
  <c r="F59" i="9"/>
  <c r="F60" i="9"/>
  <c r="F61" i="9"/>
  <c r="F62" i="9"/>
  <c r="D17" i="8"/>
  <c r="P23" i="9" l="1"/>
  <c r="P31" i="9" s="1"/>
  <c r="O27" i="9"/>
  <c r="P27" i="9"/>
  <c r="O20" i="9"/>
  <c r="O28" i="9" s="1"/>
  <c r="L27" i="9"/>
  <c r="M23" i="9"/>
  <c r="M31" i="9" s="1"/>
  <c r="K27" i="9"/>
  <c r="L23" i="9"/>
  <c r="L31" i="9" s="1"/>
  <c r="K23" i="9"/>
  <c r="K31" i="9" s="1"/>
  <c r="M27" i="9"/>
  <c r="N23" i="9"/>
  <c r="N31" i="9" s="1"/>
  <c r="N20" i="9"/>
  <c r="N28" i="9" s="1"/>
  <c r="P22" i="9"/>
  <c r="P30" i="9" s="1"/>
  <c r="L20" i="9"/>
  <c r="L28" i="9" s="1"/>
  <c r="O22" i="9"/>
  <c r="O30" i="9" s="1"/>
  <c r="K20" i="9"/>
  <c r="K28" i="9" s="1"/>
  <c r="H27" i="9"/>
  <c r="H23" i="9"/>
  <c r="H31" i="9" s="1"/>
  <c r="T27" i="9"/>
  <c r="F27" i="9"/>
  <c r="K25" i="9"/>
  <c r="P24" i="9"/>
  <c r="U23" i="9"/>
  <c r="U31" i="9" s="1"/>
  <c r="G23" i="9"/>
  <c r="G31" i="9" s="1"/>
  <c r="L22" i="9"/>
  <c r="L30" i="9" s="1"/>
  <c r="N27" i="9"/>
  <c r="O23" i="9"/>
  <c r="O31" i="9" s="1"/>
  <c r="P20" i="9"/>
  <c r="P28" i="9" s="1"/>
  <c r="P25" i="9"/>
  <c r="M20" i="9"/>
  <c r="M28" i="9" s="1"/>
  <c r="O25" i="9"/>
  <c r="J23" i="9"/>
  <c r="J31" i="9" s="1"/>
  <c r="M25" i="9"/>
  <c r="G27" i="9"/>
  <c r="J25" i="9"/>
  <c r="O24" i="9"/>
  <c r="T23" i="9"/>
  <c r="T31" i="9" s="1"/>
  <c r="F23" i="9"/>
  <c r="F31" i="9" s="1"/>
  <c r="U20" i="9"/>
  <c r="U28" i="9" s="1"/>
  <c r="J27" i="9"/>
  <c r="N25" i="9"/>
  <c r="I23" i="9"/>
  <c r="I31" i="9" s="1"/>
  <c r="N22" i="9"/>
  <c r="N30" i="9" s="1"/>
  <c r="J20" i="9"/>
  <c r="J28" i="9" s="1"/>
  <c r="I20" i="9"/>
  <c r="I28" i="9" s="1"/>
  <c r="U23" i="10"/>
  <c r="U22" i="10"/>
  <c r="U19" i="10"/>
  <c r="U20" i="10"/>
  <c r="U21" i="10"/>
  <c r="U18" i="10"/>
  <c r="T23" i="10"/>
  <c r="T22" i="10"/>
  <c r="T19" i="10"/>
  <c r="T20" i="10"/>
  <c r="T21" i="10"/>
  <c r="T18" i="10"/>
  <c r="S23" i="10"/>
  <c r="S22" i="10"/>
  <c r="S19" i="10"/>
  <c r="S20" i="10"/>
  <c r="S21" i="10"/>
  <c r="S18" i="10"/>
  <c r="R23" i="10"/>
  <c r="R22" i="10"/>
  <c r="R19" i="10"/>
  <c r="R20" i="10"/>
  <c r="R21" i="10"/>
  <c r="R18" i="10"/>
  <c r="Q23" i="10"/>
  <c r="Q22" i="10"/>
  <c r="Q19" i="10"/>
  <c r="Q20" i="10"/>
  <c r="Q21" i="10"/>
  <c r="Q18" i="10"/>
  <c r="P23" i="10"/>
  <c r="P22" i="10"/>
  <c r="P19" i="10"/>
  <c r="P20" i="10"/>
  <c r="P21" i="10"/>
  <c r="P18" i="10"/>
  <c r="O23" i="10"/>
  <c r="O22" i="10"/>
  <c r="O19" i="10"/>
  <c r="O20" i="10"/>
  <c r="O21" i="10"/>
  <c r="O18" i="10"/>
  <c r="N23" i="10"/>
  <c r="N22" i="10"/>
  <c r="N19" i="10"/>
  <c r="N20" i="10"/>
  <c r="N21" i="10"/>
  <c r="N18" i="10"/>
  <c r="M23" i="10"/>
  <c r="M22" i="10"/>
  <c r="M19" i="10"/>
  <c r="M20" i="10"/>
  <c r="M21" i="10"/>
  <c r="M18" i="10"/>
  <c r="L23" i="10"/>
  <c r="L22" i="10"/>
  <c r="L19" i="10"/>
  <c r="L20" i="10"/>
  <c r="L21" i="10"/>
  <c r="L18" i="10"/>
  <c r="K23" i="10"/>
  <c r="K22" i="10"/>
  <c r="K19" i="10"/>
  <c r="K20" i="10"/>
  <c r="K21" i="10"/>
  <c r="K18" i="10"/>
  <c r="J23" i="10"/>
  <c r="J22" i="10"/>
  <c r="J19" i="10"/>
  <c r="J20" i="10"/>
  <c r="J21" i="10"/>
  <c r="J18" i="10"/>
  <c r="I23" i="10"/>
  <c r="I22" i="10"/>
  <c r="I19" i="10"/>
  <c r="I20" i="10"/>
  <c r="I21" i="10"/>
  <c r="I18" i="10"/>
  <c r="H19" i="10"/>
  <c r="H20" i="10"/>
  <c r="H21" i="10"/>
  <c r="H18" i="10"/>
  <c r="G19" i="10"/>
  <c r="G20" i="10"/>
  <c r="G21" i="10"/>
  <c r="G18" i="10"/>
  <c r="F19" i="10"/>
  <c r="F20" i="10"/>
  <c r="F21" i="10"/>
  <c r="F18" i="10"/>
  <c r="E19" i="10"/>
  <c r="E20" i="10"/>
  <c r="E21" i="10"/>
  <c r="E18" i="10"/>
  <c r="E23" i="10"/>
  <c r="F23" i="10"/>
  <c r="G23" i="10"/>
  <c r="H23" i="10"/>
  <c r="E22" i="10"/>
  <c r="F22" i="10"/>
  <c r="G22" i="10"/>
  <c r="H22" i="10"/>
  <c r="D23" i="10"/>
  <c r="D22" i="10"/>
  <c r="D21" i="10"/>
  <c r="D20" i="10"/>
  <c r="D19" i="10"/>
  <c r="D18" i="10"/>
  <c r="C23" i="10"/>
  <c r="C22" i="10"/>
  <c r="C20" i="10"/>
  <c r="C21" i="10"/>
  <c r="C19" i="10"/>
  <c r="C18" i="10"/>
  <c r="M69" i="10" l="1"/>
  <c r="L69" i="10"/>
  <c r="K69" i="10"/>
  <c r="J69" i="10"/>
  <c r="I69" i="10"/>
  <c r="H69" i="10"/>
  <c r="G69" i="10"/>
  <c r="F69" i="10"/>
  <c r="E69" i="10"/>
  <c r="D69" i="10"/>
  <c r="I50" i="10"/>
  <c r="H50" i="10"/>
  <c r="G50" i="10"/>
  <c r="F50" i="10"/>
  <c r="E50" i="10"/>
  <c r="D50" i="10"/>
  <c r="C50" i="10"/>
  <c r="A49" i="10"/>
  <c r="A48" i="10"/>
  <c r="A47" i="10"/>
  <c r="A46" i="10"/>
  <c r="A45" i="10"/>
  <c r="A44" i="10"/>
  <c r="A43" i="10"/>
  <c r="A40" i="10"/>
  <c r="A39" i="10"/>
  <c r="A38" i="10"/>
  <c r="C37" i="10"/>
  <c r="C46" i="10" s="1"/>
  <c r="A37" i="10"/>
  <c r="A36" i="10"/>
  <c r="C35" i="10"/>
  <c r="C44" i="10" s="1"/>
  <c r="A35" i="10"/>
  <c r="U34" i="10"/>
  <c r="U43" i="10" s="1"/>
  <c r="T34" i="10"/>
  <c r="T43" i="10" s="1"/>
  <c r="S34" i="10"/>
  <c r="S43" i="10" s="1"/>
  <c r="R34" i="10"/>
  <c r="R43" i="10" s="1"/>
  <c r="Q34" i="10"/>
  <c r="Q43" i="10" s="1"/>
  <c r="P34" i="10"/>
  <c r="P43" i="10" s="1"/>
  <c r="O34" i="10"/>
  <c r="O43" i="10" s="1"/>
  <c r="N34" i="10"/>
  <c r="N43" i="10" s="1"/>
  <c r="M34" i="10"/>
  <c r="M43" i="10" s="1"/>
  <c r="L34" i="10"/>
  <c r="L43" i="10" s="1"/>
  <c r="K34" i="10"/>
  <c r="K43" i="10" s="1"/>
  <c r="J34" i="10"/>
  <c r="J43" i="10" s="1"/>
  <c r="I34" i="10"/>
  <c r="I43" i="10" s="1"/>
  <c r="H34" i="10"/>
  <c r="H43" i="10" s="1"/>
  <c r="G34" i="10"/>
  <c r="G43" i="10" s="1"/>
  <c r="F34" i="10"/>
  <c r="F43" i="10" s="1"/>
  <c r="E34" i="10"/>
  <c r="E43" i="10" s="1"/>
  <c r="D34" i="10"/>
  <c r="D43" i="10" s="1"/>
  <c r="D54" i="10" s="1"/>
  <c r="C34" i="10"/>
  <c r="C43" i="10" s="1"/>
  <c r="A34" i="10"/>
  <c r="U30" i="10"/>
  <c r="T30" i="10"/>
  <c r="S30" i="10"/>
  <c r="H30" i="10"/>
  <c r="G39" i="10" s="1"/>
  <c r="G48" i="10" s="1"/>
  <c r="G30" i="10"/>
  <c r="E30" i="10"/>
  <c r="U29" i="10"/>
  <c r="J29" i="10"/>
  <c r="P28" i="10"/>
  <c r="O28" i="10"/>
  <c r="U27" i="10"/>
  <c r="T27" i="10"/>
  <c r="S27" i="10"/>
  <c r="R27" i="10"/>
  <c r="I27" i="10"/>
  <c r="H27" i="10"/>
  <c r="G27" i="10"/>
  <c r="F27" i="10"/>
  <c r="F36" i="10" s="1"/>
  <c r="F45" i="10" s="1"/>
  <c r="E27" i="10"/>
  <c r="D27" i="10"/>
  <c r="N26" i="10"/>
  <c r="M26" i="10"/>
  <c r="L26" i="10"/>
  <c r="K26" i="10"/>
  <c r="J26" i="10"/>
  <c r="I26" i="10"/>
  <c r="U25" i="10"/>
  <c r="T25" i="10"/>
  <c r="S25" i="10"/>
  <c r="R25" i="10"/>
  <c r="Q25" i="10"/>
  <c r="P25" i="10"/>
  <c r="O25" i="10"/>
  <c r="N25" i="10"/>
  <c r="M25" i="10"/>
  <c r="L25" i="10"/>
  <c r="K25" i="10"/>
  <c r="J25" i="10"/>
  <c r="I25" i="10"/>
  <c r="H25" i="10"/>
  <c r="G25" i="10"/>
  <c r="F25" i="10"/>
  <c r="E25" i="10"/>
  <c r="D25" i="10"/>
  <c r="C25" i="10"/>
  <c r="U31" i="10"/>
  <c r="T31" i="10"/>
  <c r="S31" i="10"/>
  <c r="R31" i="10"/>
  <c r="P31" i="10"/>
  <c r="R29" i="10"/>
  <c r="Q29" i="10"/>
  <c r="P29" i="10"/>
  <c r="O29" i="10"/>
  <c r="N29" i="10"/>
  <c r="M29" i="10"/>
  <c r="L29" i="10"/>
  <c r="D29" i="10"/>
  <c r="U28" i="10"/>
  <c r="T28" i="10"/>
  <c r="R28" i="10"/>
  <c r="Q28" i="10"/>
  <c r="J28" i="10"/>
  <c r="I28" i="10"/>
  <c r="H28" i="10"/>
  <c r="D28" i="10"/>
  <c r="C28" i="10"/>
  <c r="Q27" i="10"/>
  <c r="P27" i="10"/>
  <c r="O27" i="10"/>
  <c r="N27" i="10"/>
  <c r="M27" i="10"/>
  <c r="L27" i="10"/>
  <c r="K27" i="10"/>
  <c r="J27" i="10"/>
  <c r="U26" i="10"/>
  <c r="T26" i="10"/>
  <c r="S26" i="10"/>
  <c r="R26" i="10"/>
  <c r="Q26" i="10"/>
  <c r="P26" i="10"/>
  <c r="O26" i="10"/>
  <c r="H26" i="10"/>
  <c r="G26" i="10"/>
  <c r="F26" i="10"/>
  <c r="E26" i="10"/>
  <c r="D26" i="10"/>
  <c r="C26" i="10"/>
  <c r="U17" i="10"/>
  <c r="T17" i="10"/>
  <c r="S17" i="10"/>
  <c r="R17" i="10"/>
  <c r="Q17" i="10"/>
  <c r="P17" i="10"/>
  <c r="O17" i="10"/>
  <c r="N17" i="10"/>
  <c r="M17" i="10"/>
  <c r="L17" i="10"/>
  <c r="K17" i="10"/>
  <c r="J17" i="10"/>
  <c r="I17" i="10"/>
  <c r="H17" i="10"/>
  <c r="G17" i="10"/>
  <c r="F17" i="10"/>
  <c r="E17" i="10"/>
  <c r="D17" i="10"/>
  <c r="C17" i="10"/>
  <c r="U16" i="10"/>
  <c r="T16" i="10"/>
  <c r="S16" i="10"/>
  <c r="R16" i="10"/>
  <c r="R30" i="10" s="1"/>
  <c r="Q16" i="10"/>
  <c r="Q31" i="10" s="1"/>
  <c r="P16" i="10"/>
  <c r="P30" i="10" s="1"/>
  <c r="O16" i="10"/>
  <c r="O31" i="10" s="1"/>
  <c r="N16" i="10"/>
  <c r="M16" i="10"/>
  <c r="L16" i="10"/>
  <c r="K16" i="10"/>
  <c r="J16" i="10"/>
  <c r="I16" i="10"/>
  <c r="I30" i="10" s="1"/>
  <c r="H16" i="10"/>
  <c r="G16" i="10"/>
  <c r="F16" i="10"/>
  <c r="E16" i="10"/>
  <c r="D16" i="10"/>
  <c r="C16" i="10"/>
  <c r="C31" i="10" s="1"/>
  <c r="U15" i="10"/>
  <c r="T15" i="10"/>
  <c r="T29" i="10" s="1"/>
  <c r="S15" i="10"/>
  <c r="S29" i="10" s="1"/>
  <c r="R15" i="10"/>
  <c r="Q15" i="10"/>
  <c r="P15" i="10"/>
  <c r="O15" i="10"/>
  <c r="N15" i="10"/>
  <c r="M15" i="10"/>
  <c r="L15" i="10"/>
  <c r="K15" i="10"/>
  <c r="K29" i="10" s="1"/>
  <c r="J15" i="10"/>
  <c r="I15" i="10"/>
  <c r="I29" i="10" s="1"/>
  <c r="H15" i="10"/>
  <c r="H29" i="10" s="1"/>
  <c r="G15" i="10"/>
  <c r="G29" i="10" s="1"/>
  <c r="F15" i="10"/>
  <c r="F29" i="10" s="1"/>
  <c r="E15" i="10"/>
  <c r="E29" i="10" s="1"/>
  <c r="D38" i="10" s="1"/>
  <c r="D47" i="10" s="1"/>
  <c r="D58" i="10" s="1"/>
  <c r="D15" i="10"/>
  <c r="C15" i="10"/>
  <c r="U14" i="10"/>
  <c r="T14" i="10"/>
  <c r="S14" i="10"/>
  <c r="R14" i="10"/>
  <c r="Q14" i="10"/>
  <c r="P14" i="10"/>
  <c r="O14" i="10"/>
  <c r="N14" i="10"/>
  <c r="M14" i="10"/>
  <c r="L14" i="10"/>
  <c r="K14" i="10"/>
  <c r="K31" i="10" s="1"/>
  <c r="J14" i="10"/>
  <c r="J30" i="10" s="1"/>
  <c r="I14" i="10"/>
  <c r="I31" i="10" s="1"/>
  <c r="H14" i="10"/>
  <c r="H31" i="10" s="1"/>
  <c r="G14" i="10"/>
  <c r="G28" i="10" s="1"/>
  <c r="F14" i="10"/>
  <c r="F30" i="10" s="1"/>
  <c r="E39" i="10" s="1"/>
  <c r="E48" i="10" s="1"/>
  <c r="E14" i="10"/>
  <c r="D14" i="10"/>
  <c r="C14" i="10"/>
  <c r="L38" i="10" l="1"/>
  <c r="L47" i="10" s="1"/>
  <c r="T39" i="10"/>
  <c r="U39" i="10" s="1"/>
  <c r="U48" i="10" s="1"/>
  <c r="S39" i="10"/>
  <c r="S48" i="10" s="1"/>
  <c r="T36" i="10"/>
  <c r="T45" i="10" s="1"/>
  <c r="S35" i="10"/>
  <c r="S44" i="10" s="1"/>
  <c r="R38" i="10"/>
  <c r="R47" i="10" s="1"/>
  <c r="R36" i="10"/>
  <c r="R45" i="10" s="1"/>
  <c r="R35" i="10"/>
  <c r="R44" i="10" s="1"/>
  <c r="P35" i="10"/>
  <c r="P44" i="10" s="1"/>
  <c r="Q35" i="10"/>
  <c r="Q44" i="10" s="1"/>
  <c r="P40" i="10"/>
  <c r="P49" i="10" s="1"/>
  <c r="P37" i="10"/>
  <c r="P46" i="10" s="1"/>
  <c r="O35" i="10"/>
  <c r="O44" i="10" s="1"/>
  <c r="O38" i="10"/>
  <c r="O47" i="10" s="1"/>
  <c r="N36" i="10"/>
  <c r="N45" i="10" s="1"/>
  <c r="M36" i="10"/>
  <c r="M45" i="10" s="1"/>
  <c r="K36" i="10"/>
  <c r="K45" i="10" s="1"/>
  <c r="L36" i="10"/>
  <c r="L45" i="10" s="1"/>
  <c r="L35" i="10"/>
  <c r="L44" i="10" s="1"/>
  <c r="J36" i="10"/>
  <c r="J45" i="10" s="1"/>
  <c r="J38" i="10"/>
  <c r="J47" i="10" s="1"/>
  <c r="J35" i="10"/>
  <c r="J44" i="10" s="1"/>
  <c r="I39" i="10"/>
  <c r="I48" i="10" s="1"/>
  <c r="I37" i="10"/>
  <c r="I46" i="10" s="1"/>
  <c r="G36" i="10"/>
  <c r="G45" i="10" s="1"/>
  <c r="G35" i="10"/>
  <c r="G44" i="10" s="1"/>
  <c r="E36" i="10"/>
  <c r="E45" i="10" s="1"/>
  <c r="H40" i="10"/>
  <c r="H49" i="10" s="1"/>
  <c r="H39" i="10"/>
  <c r="H48" i="10" s="1"/>
  <c r="F39" i="10"/>
  <c r="F48" i="10" s="1"/>
  <c r="D35" i="10"/>
  <c r="D44" i="10" s="1"/>
  <c r="D55" i="10" s="1"/>
  <c r="Q37" i="10"/>
  <c r="Q46" i="10" s="1"/>
  <c r="O36" i="10"/>
  <c r="O45" i="10" s="1"/>
  <c r="P36" i="10"/>
  <c r="P45" i="10" s="1"/>
  <c r="D66" i="10"/>
  <c r="E58" i="10"/>
  <c r="E66" i="10" s="1"/>
  <c r="D62" i="10"/>
  <c r="K17" i="8" s="1"/>
  <c r="E54" i="10"/>
  <c r="S38" i="10"/>
  <c r="S47" i="10" s="1"/>
  <c r="Q40" i="10"/>
  <c r="Q49" i="10" s="1"/>
  <c r="L28" i="10"/>
  <c r="L31" i="10"/>
  <c r="K40" i="10" s="1"/>
  <c r="K49" i="10" s="1"/>
  <c r="F38" i="10"/>
  <c r="F47" i="10" s="1"/>
  <c r="E35" i="10"/>
  <c r="E44" i="10" s="1"/>
  <c r="M35" i="10"/>
  <c r="M44" i="10" s="1"/>
  <c r="M31" i="10"/>
  <c r="M28" i="10"/>
  <c r="L37" i="10" s="1"/>
  <c r="L46" i="10" s="1"/>
  <c r="G38" i="10"/>
  <c r="G47" i="10" s="1"/>
  <c r="T35" i="10"/>
  <c r="S40" i="10"/>
  <c r="S49" i="10" s="1"/>
  <c r="C40" i="10"/>
  <c r="C49" i="10" s="1"/>
  <c r="I38" i="10"/>
  <c r="I47" i="10" s="1"/>
  <c r="H38" i="10"/>
  <c r="H47" i="10" s="1"/>
  <c r="D30" i="10"/>
  <c r="D39" i="10" s="1"/>
  <c r="D48" i="10" s="1"/>
  <c r="D59" i="10" s="1"/>
  <c r="D31" i="10"/>
  <c r="C36" i="10"/>
  <c r="C45" i="10" s="1"/>
  <c r="C27" i="10"/>
  <c r="S37" i="10"/>
  <c r="S46" i="10" s="1"/>
  <c r="T40" i="10"/>
  <c r="K30" i="10"/>
  <c r="J39" i="10" s="1"/>
  <c r="J48" i="10" s="1"/>
  <c r="O37" i="10"/>
  <c r="O46" i="10" s="1"/>
  <c r="T37" i="10"/>
  <c r="V53" i="10"/>
  <c r="R39" i="10"/>
  <c r="R48" i="10" s="1"/>
  <c r="M30" i="10"/>
  <c r="I36" i="10"/>
  <c r="I45" i="10" s="1"/>
  <c r="H36" i="10"/>
  <c r="H45" i="10" s="1"/>
  <c r="K38" i="10"/>
  <c r="K47" i="10" s="1"/>
  <c r="O30" i="10"/>
  <c r="O39" i="10" s="1"/>
  <c r="O48" i="10" s="1"/>
  <c r="N35" i="10"/>
  <c r="N44" i="10" s="1"/>
  <c r="G37" i="10"/>
  <c r="G46" i="10" s="1"/>
  <c r="M38" i="10"/>
  <c r="M47" i="10" s="1"/>
  <c r="H35" i="10"/>
  <c r="H44" i="10" s="1"/>
  <c r="E38" i="10"/>
  <c r="E47" i="10" s="1"/>
  <c r="R40" i="10"/>
  <c r="R49" i="10" s="1"/>
  <c r="F35" i="10"/>
  <c r="F44" i="10" s="1"/>
  <c r="N31" i="10"/>
  <c r="N40" i="10" s="1"/>
  <c r="N49" i="10" s="1"/>
  <c r="N28" i="10"/>
  <c r="M37" i="10" s="1"/>
  <c r="M46" i="10" s="1"/>
  <c r="N37" i="10"/>
  <c r="N46" i="10" s="1"/>
  <c r="L30" i="10"/>
  <c r="V69" i="10"/>
  <c r="N30" i="10"/>
  <c r="H37" i="10"/>
  <c r="H46" i="10" s="1"/>
  <c r="N38" i="10"/>
  <c r="N47" i="10" s="1"/>
  <c r="J31" i="10"/>
  <c r="I40" i="10" s="1"/>
  <c r="I49" i="10" s="1"/>
  <c r="I35" i="10"/>
  <c r="I44" i="10" s="1"/>
  <c r="Q36" i="10"/>
  <c r="Q45" i="10" s="1"/>
  <c r="T38" i="10"/>
  <c r="O40" i="10"/>
  <c r="O49" i="10" s="1"/>
  <c r="S36" i="10"/>
  <c r="S45" i="10" s="1"/>
  <c r="K28" i="10"/>
  <c r="J37" i="10" s="1"/>
  <c r="J46" i="10" s="1"/>
  <c r="P38" i="10"/>
  <c r="P47" i="10" s="1"/>
  <c r="K35" i="10"/>
  <c r="K44" i="10" s="1"/>
  <c r="Q30" i="10"/>
  <c r="P39" i="10" s="1"/>
  <c r="P48" i="10" s="1"/>
  <c r="S28" i="10"/>
  <c r="R37" i="10" s="1"/>
  <c r="R46" i="10" s="1"/>
  <c r="Q38" i="10"/>
  <c r="Q47" i="10" s="1"/>
  <c r="V61" i="10"/>
  <c r="E31" i="10"/>
  <c r="D40" i="10" s="1"/>
  <c r="D49" i="10" s="1"/>
  <c r="D60" i="10" s="1"/>
  <c r="C29" i="10"/>
  <c r="C38" i="10"/>
  <c r="C47" i="10" s="1"/>
  <c r="F31" i="10"/>
  <c r="E40" i="10" s="1"/>
  <c r="E49" i="10" s="1"/>
  <c r="E28" i="10"/>
  <c r="D37" i="10" s="1"/>
  <c r="D46" i="10" s="1"/>
  <c r="D57" i="10" s="1"/>
  <c r="G31" i="10"/>
  <c r="F40" i="10" s="1"/>
  <c r="F49" i="10" s="1"/>
  <c r="D36" i="10"/>
  <c r="D45" i="10" s="1"/>
  <c r="D56" i="10" s="1"/>
  <c r="F28" i="10"/>
  <c r="O10" i="5"/>
  <c r="G20" i="5"/>
  <c r="H20" i="5"/>
  <c r="D63" i="10" l="1"/>
  <c r="T48" i="10"/>
  <c r="E62" i="10"/>
  <c r="E70" i="10" s="1"/>
  <c r="E71" i="10" s="1"/>
  <c r="E72" i="10" s="1"/>
  <c r="E73" i="10" s="1"/>
  <c r="E74" i="10" s="1"/>
  <c r="E75" i="10" s="1"/>
  <c r="E76" i="10" s="1"/>
  <c r="L17" i="8"/>
  <c r="K39" i="10"/>
  <c r="K48" i="10" s="1"/>
  <c r="U36" i="10"/>
  <c r="U45" i="10" s="1"/>
  <c r="Q39" i="10"/>
  <c r="Q48" i="10" s="1"/>
  <c r="M40" i="10"/>
  <c r="M49" i="10" s="1"/>
  <c r="L40" i="10"/>
  <c r="L49" i="10" s="1"/>
  <c r="J40" i="10"/>
  <c r="J49" i="10" s="1"/>
  <c r="E37" i="10"/>
  <c r="E46" i="10" s="1"/>
  <c r="E57" i="10" s="1"/>
  <c r="E55" i="10"/>
  <c r="E63" i="10" s="1"/>
  <c r="D67" i="10"/>
  <c r="E59" i="10"/>
  <c r="E67" i="10" s="1"/>
  <c r="F55" i="10"/>
  <c r="F63" i="10" s="1"/>
  <c r="T44" i="10"/>
  <c r="U35" i="10"/>
  <c r="U44" i="10" s="1"/>
  <c r="T47" i="10"/>
  <c r="U38" i="10"/>
  <c r="U47" i="10" s="1"/>
  <c r="D64" i="10"/>
  <c r="E56" i="10"/>
  <c r="E64" i="10" s="1"/>
  <c r="L39" i="10"/>
  <c r="L48" i="10" s="1"/>
  <c r="D65" i="10"/>
  <c r="T46" i="10"/>
  <c r="U37" i="10"/>
  <c r="U46" i="10" s="1"/>
  <c r="D68" i="10"/>
  <c r="E60" i="10"/>
  <c r="E68" i="10" s="1"/>
  <c r="U40" i="10"/>
  <c r="U49" i="10" s="1"/>
  <c r="T49" i="10"/>
  <c r="F58" i="10"/>
  <c r="D70" i="10"/>
  <c r="G40" i="10"/>
  <c r="G49" i="10" s="1"/>
  <c r="F37" i="10"/>
  <c r="F46" i="10" s="1"/>
  <c r="C30" i="10"/>
  <c r="C39" i="10"/>
  <c r="C48" i="10" s="1"/>
  <c r="M39" i="10"/>
  <c r="M48" i="10" s="1"/>
  <c r="N39" i="10"/>
  <c r="N48" i="10" s="1"/>
  <c r="K37" i="10"/>
  <c r="K46" i="10" s="1"/>
  <c r="F54" i="10"/>
  <c r="C4" i="4"/>
  <c r="U52" i="4"/>
  <c r="T52" i="4"/>
  <c r="S52" i="4"/>
  <c r="R52" i="4"/>
  <c r="Q52" i="4"/>
  <c r="P52" i="4"/>
  <c r="C52" i="4"/>
  <c r="U44" i="4"/>
  <c r="T44" i="4"/>
  <c r="S44" i="4"/>
  <c r="R44" i="4"/>
  <c r="Q44" i="4"/>
  <c r="P44" i="4"/>
  <c r="C44" i="4"/>
  <c r="U36" i="4"/>
  <c r="T36" i="4"/>
  <c r="S36" i="4"/>
  <c r="R36" i="4"/>
  <c r="Q36" i="4"/>
  <c r="P36" i="4"/>
  <c r="C36" i="4"/>
  <c r="U28" i="4"/>
  <c r="T28" i="4"/>
  <c r="S28" i="4"/>
  <c r="R28" i="4"/>
  <c r="Q28" i="4"/>
  <c r="P28" i="4"/>
  <c r="C28" i="4"/>
  <c r="U20" i="4"/>
  <c r="T20" i="4"/>
  <c r="S20" i="4"/>
  <c r="R20" i="4"/>
  <c r="Q20" i="4"/>
  <c r="P20" i="4"/>
  <c r="C20" i="4"/>
  <c r="U12" i="4"/>
  <c r="T12" i="4"/>
  <c r="S12" i="4"/>
  <c r="R12" i="4"/>
  <c r="Q12" i="4"/>
  <c r="P12" i="4"/>
  <c r="C12" i="4"/>
  <c r="D10" i="4"/>
  <c r="D7" i="4"/>
  <c r="U4" i="4"/>
  <c r="T4" i="4"/>
  <c r="S4" i="4"/>
  <c r="R4" i="4"/>
  <c r="Q4" i="4"/>
  <c r="P4" i="4"/>
  <c r="E56" i="4"/>
  <c r="E53" i="4"/>
  <c r="E48" i="4"/>
  <c r="E45" i="4"/>
  <c r="E40" i="4"/>
  <c r="E37" i="4"/>
  <c r="E32" i="4"/>
  <c r="E29" i="4"/>
  <c r="E24" i="4"/>
  <c r="E21" i="4"/>
  <c r="E16" i="4"/>
  <c r="E13" i="4"/>
  <c r="C12" i="1"/>
  <c r="C9" i="1" s="1"/>
  <c r="D9" i="1"/>
  <c r="C5" i="1"/>
  <c r="D5" i="1"/>
  <c r="E5" i="1"/>
  <c r="F5" i="1"/>
  <c r="G5" i="1"/>
  <c r="H5" i="1"/>
  <c r="I5" i="1"/>
  <c r="J5" i="1"/>
  <c r="K5" i="1"/>
  <c r="L5" i="1"/>
  <c r="M5" i="1"/>
  <c r="N5" i="1"/>
  <c r="O5" i="1"/>
  <c r="P5" i="1"/>
  <c r="Q5" i="1"/>
  <c r="R5" i="1"/>
  <c r="S5" i="1"/>
  <c r="T5" i="1"/>
  <c r="U5" i="1"/>
  <c r="E65" i="10" l="1"/>
  <c r="F60" i="10"/>
  <c r="F66" i="10"/>
  <c r="G58" i="10"/>
  <c r="D71" i="10"/>
  <c r="F62" i="10"/>
  <c r="M17" i="8" s="1"/>
  <c r="G54" i="10"/>
  <c r="F59" i="10"/>
  <c r="G59" i="10" s="1"/>
  <c r="F56" i="10"/>
  <c r="F57" i="10"/>
  <c r="G55" i="10"/>
  <c r="D55" i="4"/>
  <c r="D50" i="4"/>
  <c r="E50" i="4"/>
  <c r="F50" i="4" s="1"/>
  <c r="D39" i="4"/>
  <c r="D34" i="4"/>
  <c r="D23" i="4"/>
  <c r="D26" i="4"/>
  <c r="E26" i="4"/>
  <c r="F26" i="4"/>
  <c r="G26" i="4" s="1"/>
  <c r="E7" i="4"/>
  <c r="E4" i="4" s="1"/>
  <c r="E10" i="4"/>
  <c r="D4" i="4"/>
  <c r="D15" i="4"/>
  <c r="D42" i="4"/>
  <c r="D58" i="4"/>
  <c r="D52" i="4" s="1"/>
  <c r="D18" i="4"/>
  <c r="E18" i="4" s="1"/>
  <c r="D47" i="4"/>
  <c r="D31" i="4"/>
  <c r="E45" i="5"/>
  <c r="C47" i="5" s="1"/>
  <c r="K47" i="5" s="1"/>
  <c r="K44" i="5" s="1"/>
  <c r="E21" i="5"/>
  <c r="C23" i="5" s="1"/>
  <c r="T18" i="8"/>
  <c r="S18" i="8"/>
  <c r="R18" i="8"/>
  <c r="Q18" i="8"/>
  <c r="P18" i="8"/>
  <c r="O18" i="8"/>
  <c r="N18" i="8"/>
  <c r="M18" i="8"/>
  <c r="L18" i="8"/>
  <c r="K18" i="8"/>
  <c r="AC16" i="8"/>
  <c r="D16" i="8"/>
  <c r="D18" i="7"/>
  <c r="D16" i="7"/>
  <c r="F13" i="7"/>
  <c r="M70" i="9"/>
  <c r="M77" i="9" s="1"/>
  <c r="L70" i="9"/>
  <c r="L77" i="9" s="1"/>
  <c r="K70" i="9"/>
  <c r="K77" i="9" s="1"/>
  <c r="J70" i="9"/>
  <c r="J77" i="9" s="1"/>
  <c r="I70" i="9"/>
  <c r="I77" i="9" s="1"/>
  <c r="H70" i="9"/>
  <c r="H77" i="9" s="1"/>
  <c r="G70" i="9"/>
  <c r="G77" i="9" s="1"/>
  <c r="M69" i="9"/>
  <c r="M76" i="9" s="1"/>
  <c r="L69" i="9"/>
  <c r="L76" i="9" s="1"/>
  <c r="K69" i="9"/>
  <c r="K76" i="9" s="1"/>
  <c r="J69" i="9"/>
  <c r="J76" i="9" s="1"/>
  <c r="I69" i="9"/>
  <c r="I76" i="9" s="1"/>
  <c r="H69" i="9"/>
  <c r="H76" i="9" s="1"/>
  <c r="G69" i="9"/>
  <c r="G76" i="9" s="1"/>
  <c r="M68" i="9"/>
  <c r="M75" i="9" s="1"/>
  <c r="L68" i="9"/>
  <c r="L75" i="9" s="1"/>
  <c r="K68" i="9"/>
  <c r="K75" i="9" s="1"/>
  <c r="J68" i="9"/>
  <c r="J75" i="9" s="1"/>
  <c r="I68" i="9"/>
  <c r="I75" i="9" s="1"/>
  <c r="H68" i="9"/>
  <c r="H75" i="9" s="1"/>
  <c r="G68" i="9"/>
  <c r="G75" i="9" s="1"/>
  <c r="M67" i="9"/>
  <c r="M74" i="9" s="1"/>
  <c r="L67" i="9"/>
  <c r="L74" i="9" s="1"/>
  <c r="K67" i="9"/>
  <c r="K74" i="9" s="1"/>
  <c r="J67" i="9"/>
  <c r="J74" i="9" s="1"/>
  <c r="I67" i="9"/>
  <c r="I74" i="9" s="1"/>
  <c r="H67" i="9"/>
  <c r="H74" i="9" s="1"/>
  <c r="G67" i="9"/>
  <c r="G74" i="9" s="1"/>
  <c r="M66" i="9"/>
  <c r="M73" i="9" s="1"/>
  <c r="L66" i="9"/>
  <c r="L73" i="9" s="1"/>
  <c r="K66" i="9"/>
  <c r="K73" i="9" s="1"/>
  <c r="J66" i="9"/>
  <c r="J73" i="9" s="1"/>
  <c r="I66" i="9"/>
  <c r="I73" i="9" s="1"/>
  <c r="H66" i="9"/>
  <c r="H73" i="9" s="1"/>
  <c r="G66" i="9"/>
  <c r="G73" i="9" s="1"/>
  <c r="M65" i="9"/>
  <c r="M72" i="9" s="1"/>
  <c r="L65" i="9"/>
  <c r="L72" i="9" s="1"/>
  <c r="K65" i="9"/>
  <c r="K72" i="9" s="1"/>
  <c r="J65" i="9"/>
  <c r="J72" i="9" s="1"/>
  <c r="I65" i="9"/>
  <c r="I72" i="9" s="1"/>
  <c r="H65" i="9"/>
  <c r="H72" i="9" s="1"/>
  <c r="G65" i="9"/>
  <c r="G72" i="9" s="1"/>
  <c r="F55" i="9"/>
  <c r="I52" i="9"/>
  <c r="H52" i="9"/>
  <c r="G52" i="9"/>
  <c r="F52" i="9"/>
  <c r="E52" i="9"/>
  <c r="D52" i="9"/>
  <c r="C52" i="9"/>
  <c r="A51" i="9"/>
  <c r="A50" i="9"/>
  <c r="A49" i="9"/>
  <c r="A48" i="9"/>
  <c r="A47" i="9"/>
  <c r="A46" i="9"/>
  <c r="G45" i="9"/>
  <c r="A45" i="9"/>
  <c r="A42" i="9"/>
  <c r="A41" i="9"/>
  <c r="A40" i="9"/>
  <c r="A39" i="9"/>
  <c r="A38" i="9"/>
  <c r="A37" i="9"/>
  <c r="U36" i="9"/>
  <c r="U45" i="9" s="1"/>
  <c r="T36" i="9"/>
  <c r="T45" i="9" s="1"/>
  <c r="S36" i="9"/>
  <c r="S45" i="9" s="1"/>
  <c r="R36" i="9"/>
  <c r="R45" i="9" s="1"/>
  <c r="Q36" i="9"/>
  <c r="Q45" i="9" s="1"/>
  <c r="P36" i="9"/>
  <c r="P45" i="9" s="1"/>
  <c r="O36" i="9"/>
  <c r="O45" i="9" s="1"/>
  <c r="N36" i="9"/>
  <c r="N45" i="9" s="1"/>
  <c r="M36" i="9"/>
  <c r="M45" i="9" s="1"/>
  <c r="L36" i="9"/>
  <c r="L45" i="9" s="1"/>
  <c r="K36" i="9"/>
  <c r="K45" i="9" s="1"/>
  <c r="J36" i="9"/>
  <c r="J45" i="9" s="1"/>
  <c r="I36" i="9"/>
  <c r="I45" i="9" s="1"/>
  <c r="H36" i="9"/>
  <c r="H45" i="9" s="1"/>
  <c r="G36" i="9"/>
  <c r="F36" i="9"/>
  <c r="F45" i="9" s="1"/>
  <c r="E36" i="9"/>
  <c r="E45" i="9" s="1"/>
  <c r="D36" i="9"/>
  <c r="D45" i="9" s="1"/>
  <c r="D56" i="9" s="1"/>
  <c r="C36" i="9"/>
  <c r="C45" i="9" s="1"/>
  <c r="A36" i="9"/>
  <c r="Q32" i="9"/>
  <c r="E32" i="9"/>
  <c r="Q33" i="9"/>
  <c r="K33" i="9"/>
  <c r="E33" i="9"/>
  <c r="S32" i="9"/>
  <c r="R32" i="9"/>
  <c r="L32" i="9"/>
  <c r="G32" i="9"/>
  <c r="L33" i="9"/>
  <c r="F32" i="9"/>
  <c r="N40" i="9"/>
  <c r="N49" i="9" s="1"/>
  <c r="U32" i="9"/>
  <c r="P33" i="9"/>
  <c r="K32" i="9"/>
  <c r="J32" i="9"/>
  <c r="I32" i="9"/>
  <c r="D33" i="9"/>
  <c r="E56" i="5"/>
  <c r="C58" i="5" s="1"/>
  <c r="E53" i="5"/>
  <c r="C55" i="5" s="1"/>
  <c r="K55" i="5" s="1"/>
  <c r="K52" i="5" s="1"/>
  <c r="U52" i="5"/>
  <c r="T52" i="5"/>
  <c r="S52" i="5"/>
  <c r="R52" i="5"/>
  <c r="Q52" i="5"/>
  <c r="P52" i="5"/>
  <c r="N52" i="5"/>
  <c r="M52" i="5"/>
  <c r="L52" i="5"/>
  <c r="J52" i="5"/>
  <c r="I52" i="5"/>
  <c r="H52" i="5"/>
  <c r="G52" i="5"/>
  <c r="F52" i="5"/>
  <c r="E52" i="5"/>
  <c r="D52" i="5"/>
  <c r="E48" i="5"/>
  <c r="C50" i="5" s="1"/>
  <c r="U44" i="5"/>
  <c r="T44" i="5"/>
  <c r="S44" i="5"/>
  <c r="R44" i="5"/>
  <c r="Q44" i="5"/>
  <c r="P44" i="5"/>
  <c r="N44" i="5"/>
  <c r="M44" i="5"/>
  <c r="L44" i="5"/>
  <c r="J44" i="5"/>
  <c r="I44" i="5"/>
  <c r="H44" i="5"/>
  <c r="G44" i="5"/>
  <c r="F44" i="5"/>
  <c r="E44" i="5"/>
  <c r="D44" i="5"/>
  <c r="E40" i="5"/>
  <c r="C42" i="5" s="1"/>
  <c r="O42" i="5" s="1"/>
  <c r="O36" i="5" s="1"/>
  <c r="E37" i="5"/>
  <c r="C39" i="5" s="1"/>
  <c r="U36" i="5"/>
  <c r="T36" i="5"/>
  <c r="S36" i="5"/>
  <c r="R36" i="5"/>
  <c r="Q36" i="5"/>
  <c r="P36" i="5"/>
  <c r="N36" i="5"/>
  <c r="M36" i="5"/>
  <c r="L36" i="5"/>
  <c r="J36" i="5"/>
  <c r="I36" i="5"/>
  <c r="H36" i="5"/>
  <c r="G36" i="5"/>
  <c r="F36" i="5"/>
  <c r="E36" i="5"/>
  <c r="D36" i="5"/>
  <c r="E32" i="5"/>
  <c r="C34" i="5" s="1"/>
  <c r="O34" i="5" s="1"/>
  <c r="O28" i="5" s="1"/>
  <c r="E29" i="5"/>
  <c r="C31" i="5" s="1"/>
  <c r="U28" i="5"/>
  <c r="T28" i="5"/>
  <c r="S28" i="5"/>
  <c r="R28" i="5"/>
  <c r="Q28" i="5"/>
  <c r="P28" i="5"/>
  <c r="N28" i="5"/>
  <c r="M28" i="5"/>
  <c r="L28" i="5"/>
  <c r="J28" i="5"/>
  <c r="I28" i="5"/>
  <c r="H28" i="5"/>
  <c r="G28" i="5"/>
  <c r="F28" i="5"/>
  <c r="E28" i="5"/>
  <c r="D28" i="5"/>
  <c r="E24" i="5"/>
  <c r="C26" i="5" s="1"/>
  <c r="O26" i="5" s="1"/>
  <c r="O20" i="5" s="1"/>
  <c r="U20" i="5"/>
  <c r="T20" i="5"/>
  <c r="S20" i="5"/>
  <c r="R20" i="5"/>
  <c r="Q20" i="5"/>
  <c r="P20" i="5"/>
  <c r="N20" i="5"/>
  <c r="M20" i="5"/>
  <c r="L20" i="5"/>
  <c r="J20" i="5"/>
  <c r="I20" i="5"/>
  <c r="F20" i="5"/>
  <c r="E20" i="5"/>
  <c r="D20" i="5"/>
  <c r="E16" i="5"/>
  <c r="C18" i="5" s="1"/>
  <c r="O18" i="5" s="1"/>
  <c r="O12" i="5" s="1"/>
  <c r="E13" i="5"/>
  <c r="C15" i="5" s="1"/>
  <c r="U12" i="5"/>
  <c r="T12" i="5"/>
  <c r="S12" i="5"/>
  <c r="R12" i="5"/>
  <c r="Q12" i="5"/>
  <c r="P12" i="5"/>
  <c r="N12" i="5"/>
  <c r="M12" i="5"/>
  <c r="L12" i="5"/>
  <c r="J12" i="5"/>
  <c r="I12" i="5"/>
  <c r="H12" i="5"/>
  <c r="F12" i="5"/>
  <c r="E12" i="5"/>
  <c r="D12" i="5"/>
  <c r="C10" i="5"/>
  <c r="C4" i="5" s="1"/>
  <c r="C7" i="5"/>
  <c r="K7" i="5" s="1"/>
  <c r="K4" i="5" s="1"/>
  <c r="U4" i="5"/>
  <c r="T4" i="5"/>
  <c r="S4" i="5"/>
  <c r="R4" i="5"/>
  <c r="Q4" i="5"/>
  <c r="P4" i="5"/>
  <c r="N4" i="5"/>
  <c r="M4" i="5"/>
  <c r="L4" i="5"/>
  <c r="J4" i="5"/>
  <c r="I4" i="5"/>
  <c r="H4" i="5"/>
  <c r="G4" i="5"/>
  <c r="F4" i="5"/>
  <c r="E4" i="5"/>
  <c r="D4" i="5"/>
  <c r="C138" i="1"/>
  <c r="U137" i="1"/>
  <c r="T137" i="1"/>
  <c r="S137" i="1"/>
  <c r="R137" i="1"/>
  <c r="Q137" i="1"/>
  <c r="P137" i="1"/>
  <c r="O137" i="1"/>
  <c r="N137" i="1"/>
  <c r="M137" i="1"/>
  <c r="L137" i="1"/>
  <c r="K137" i="1"/>
  <c r="J137" i="1"/>
  <c r="I137" i="1"/>
  <c r="H137" i="1"/>
  <c r="G137" i="1"/>
  <c r="F137" i="1"/>
  <c r="E137" i="1"/>
  <c r="D137" i="1"/>
  <c r="C137" i="1"/>
  <c r="C116" i="1"/>
  <c r="U115" i="1"/>
  <c r="T115" i="1"/>
  <c r="S115" i="1"/>
  <c r="R115" i="1"/>
  <c r="Q115" i="1"/>
  <c r="P115" i="1"/>
  <c r="O115" i="1"/>
  <c r="N115" i="1"/>
  <c r="M115" i="1"/>
  <c r="L115" i="1"/>
  <c r="K115" i="1"/>
  <c r="J115" i="1"/>
  <c r="I115" i="1"/>
  <c r="H115" i="1"/>
  <c r="G115" i="1"/>
  <c r="F115" i="1"/>
  <c r="E115" i="1"/>
  <c r="D115" i="1"/>
  <c r="C115" i="1"/>
  <c r="C94" i="1"/>
  <c r="U93" i="1"/>
  <c r="T93" i="1"/>
  <c r="S93" i="1"/>
  <c r="R93" i="1"/>
  <c r="Q93" i="1"/>
  <c r="P93" i="1"/>
  <c r="O93" i="1"/>
  <c r="N93" i="1"/>
  <c r="M93" i="1"/>
  <c r="L93" i="1"/>
  <c r="K93" i="1"/>
  <c r="J93" i="1"/>
  <c r="I93" i="1"/>
  <c r="H93" i="1"/>
  <c r="G93" i="1"/>
  <c r="F93" i="1"/>
  <c r="E93" i="1"/>
  <c r="D93" i="1"/>
  <c r="C93" i="1"/>
  <c r="C72" i="1"/>
  <c r="U71" i="1"/>
  <c r="T71" i="1"/>
  <c r="S71" i="1"/>
  <c r="R71" i="1"/>
  <c r="Q71" i="1"/>
  <c r="P71" i="1"/>
  <c r="O71" i="1"/>
  <c r="N71" i="1"/>
  <c r="M71" i="1"/>
  <c r="L71" i="1"/>
  <c r="K71" i="1"/>
  <c r="J71" i="1"/>
  <c r="I71" i="1"/>
  <c r="H71" i="1"/>
  <c r="G71" i="1"/>
  <c r="F71" i="1"/>
  <c r="E71" i="1"/>
  <c r="D71" i="1"/>
  <c r="C71" i="1"/>
  <c r="C50" i="1"/>
  <c r="U49" i="1"/>
  <c r="T49" i="1"/>
  <c r="S49" i="1"/>
  <c r="R49" i="1"/>
  <c r="Q49" i="1"/>
  <c r="P49" i="1"/>
  <c r="O49" i="1"/>
  <c r="N49" i="1"/>
  <c r="M49" i="1"/>
  <c r="L49" i="1"/>
  <c r="K49" i="1"/>
  <c r="J49" i="1"/>
  <c r="I49" i="1"/>
  <c r="H49" i="1"/>
  <c r="G49" i="1"/>
  <c r="F49" i="1"/>
  <c r="E49" i="1"/>
  <c r="D49" i="1"/>
  <c r="C49" i="1"/>
  <c r="C28" i="1"/>
  <c r="U27" i="1"/>
  <c r="T27" i="1"/>
  <c r="S27" i="1"/>
  <c r="R27" i="1"/>
  <c r="Q27" i="1"/>
  <c r="P27" i="1"/>
  <c r="O27" i="1"/>
  <c r="N27" i="1"/>
  <c r="M27" i="1"/>
  <c r="L27" i="1"/>
  <c r="K27" i="1"/>
  <c r="J27" i="1"/>
  <c r="I27" i="1"/>
  <c r="H27" i="1"/>
  <c r="G27" i="1"/>
  <c r="F27" i="1"/>
  <c r="E27" i="1"/>
  <c r="D27" i="1"/>
  <c r="C27" i="1"/>
  <c r="C18" i="1"/>
  <c r="C15" i="1" s="1"/>
  <c r="U15" i="1"/>
  <c r="T15" i="1"/>
  <c r="S15" i="1"/>
  <c r="R15" i="1"/>
  <c r="Q15" i="1"/>
  <c r="P15" i="1"/>
  <c r="O15" i="1"/>
  <c r="N15" i="1"/>
  <c r="M15" i="1"/>
  <c r="L15" i="1"/>
  <c r="K15" i="1"/>
  <c r="J15" i="1"/>
  <c r="I15" i="1"/>
  <c r="H15" i="1"/>
  <c r="G15" i="1"/>
  <c r="F15" i="1"/>
  <c r="E15" i="1"/>
  <c r="D15" i="1"/>
  <c r="U9" i="1"/>
  <c r="T9" i="1"/>
  <c r="S9" i="1"/>
  <c r="R9" i="1"/>
  <c r="Q9" i="1"/>
  <c r="P9" i="1"/>
  <c r="O9" i="1"/>
  <c r="N9" i="1"/>
  <c r="M9" i="1"/>
  <c r="L9" i="1"/>
  <c r="K9" i="1"/>
  <c r="J9" i="1"/>
  <c r="I9" i="1"/>
  <c r="H9" i="1"/>
  <c r="G9" i="1"/>
  <c r="F9" i="1"/>
  <c r="E9" i="1"/>
  <c r="C6" i="1"/>
  <c r="F68" i="10" l="1"/>
  <c r="G62" i="10"/>
  <c r="G70" i="10" s="1"/>
  <c r="G71" i="10" s="1"/>
  <c r="G72" i="10" s="1"/>
  <c r="G73" i="10" s="1"/>
  <c r="G74" i="10" s="1"/>
  <c r="G75" i="10" s="1"/>
  <c r="G76" i="10" s="1"/>
  <c r="N17" i="8"/>
  <c r="G60" i="10"/>
  <c r="H54" i="10"/>
  <c r="E71" i="9"/>
  <c r="H39" i="9"/>
  <c r="H48" i="9" s="1"/>
  <c r="D42" i="9"/>
  <c r="D51" i="9" s="1"/>
  <c r="D70" i="9" s="1"/>
  <c r="I41" i="9"/>
  <c r="I50" i="9" s="1"/>
  <c r="T37" i="9"/>
  <c r="U37" i="9" s="1"/>
  <c r="U46" i="9" s="1"/>
  <c r="M37" i="9"/>
  <c r="M46" i="9" s="1"/>
  <c r="Q37" i="9"/>
  <c r="Q46" i="9" s="1"/>
  <c r="H37" i="9"/>
  <c r="H46" i="9" s="1"/>
  <c r="J41" i="9"/>
  <c r="J50" i="9" s="1"/>
  <c r="D37" i="9"/>
  <c r="D46" i="9" s="1"/>
  <c r="D57" i="9" s="1"/>
  <c r="L39" i="9"/>
  <c r="L48" i="9" s="1"/>
  <c r="F37" i="9"/>
  <c r="F46" i="9" s="1"/>
  <c r="F72" i="9" s="1"/>
  <c r="O38" i="9"/>
  <c r="O47" i="9" s="1"/>
  <c r="R41" i="9"/>
  <c r="R50" i="9" s="1"/>
  <c r="M38" i="9"/>
  <c r="M47" i="9" s="1"/>
  <c r="E40" i="9"/>
  <c r="E49" i="9" s="1"/>
  <c r="R37" i="9"/>
  <c r="R46" i="9" s="1"/>
  <c r="E37" i="9"/>
  <c r="E46" i="9" s="1"/>
  <c r="E72" i="9" s="1"/>
  <c r="Q41" i="9"/>
  <c r="Q50" i="9" s="1"/>
  <c r="J40" i="9"/>
  <c r="J49" i="9" s="1"/>
  <c r="E41" i="9"/>
  <c r="E50" i="9" s="1"/>
  <c r="R38" i="9"/>
  <c r="R47" i="9" s="1"/>
  <c r="P42" i="9"/>
  <c r="P51" i="9" s="1"/>
  <c r="K40" i="9"/>
  <c r="K49" i="9" s="1"/>
  <c r="J37" i="9"/>
  <c r="J46" i="9" s="1"/>
  <c r="S38" i="9"/>
  <c r="S47" i="9" s="1"/>
  <c r="F38" i="9"/>
  <c r="F47" i="9" s="1"/>
  <c r="V63" i="9"/>
  <c r="R39" i="9"/>
  <c r="R48" i="9" s="1"/>
  <c r="G38" i="9"/>
  <c r="G47" i="9" s="1"/>
  <c r="F39" i="9"/>
  <c r="F48" i="9" s="1"/>
  <c r="N37" i="9"/>
  <c r="N46" i="9" s="1"/>
  <c r="I38" i="9"/>
  <c r="I47" i="9" s="1"/>
  <c r="J38" i="9"/>
  <c r="J47" i="9" s="1"/>
  <c r="Q40" i="9"/>
  <c r="Q49" i="9" s="1"/>
  <c r="P37" i="9"/>
  <c r="P46" i="9" s="1"/>
  <c r="G67" i="10"/>
  <c r="F65" i="10"/>
  <c r="H57" i="10"/>
  <c r="H65" i="10" s="1"/>
  <c r="H59" i="10"/>
  <c r="F70" i="10"/>
  <c r="G66" i="10"/>
  <c r="H58" i="10"/>
  <c r="F67" i="10"/>
  <c r="G63" i="10"/>
  <c r="H55" i="10"/>
  <c r="D72" i="10"/>
  <c r="G57" i="10"/>
  <c r="F64" i="10"/>
  <c r="G56" i="10"/>
  <c r="E58" i="4"/>
  <c r="E55" i="4"/>
  <c r="F55" i="4"/>
  <c r="E47" i="4"/>
  <c r="F47" i="4" s="1"/>
  <c r="G50" i="4"/>
  <c r="H50" i="4"/>
  <c r="E42" i="4"/>
  <c r="F42" i="4"/>
  <c r="G42" i="4"/>
  <c r="H42" i="4"/>
  <c r="E39" i="4"/>
  <c r="F39" i="4" s="1"/>
  <c r="E31" i="4"/>
  <c r="F31" i="4" s="1"/>
  <c r="E34" i="4"/>
  <c r="F34" i="4" s="1"/>
  <c r="H26" i="4"/>
  <c r="I26" i="4"/>
  <c r="D20" i="4"/>
  <c r="E23" i="4"/>
  <c r="F23" i="4"/>
  <c r="F10" i="4"/>
  <c r="F7" i="4"/>
  <c r="F4" i="4" s="1"/>
  <c r="D12" i="4"/>
  <c r="F18" i="4"/>
  <c r="G18" i="4" s="1"/>
  <c r="E15" i="4"/>
  <c r="F15" i="4" s="1"/>
  <c r="G15" i="4" s="1"/>
  <c r="O4" i="5"/>
  <c r="C28" i="5"/>
  <c r="K23" i="5"/>
  <c r="K20" i="5" s="1"/>
  <c r="C20" i="5"/>
  <c r="C52" i="5"/>
  <c r="C44" i="5"/>
  <c r="D36" i="4"/>
  <c r="D44" i="4"/>
  <c r="D28" i="4"/>
  <c r="O50" i="5"/>
  <c r="O44" i="5" s="1"/>
  <c r="O58" i="5"/>
  <c r="O52" i="5" s="1"/>
  <c r="C36" i="5"/>
  <c r="K39" i="5"/>
  <c r="K36" i="5" s="1"/>
  <c r="F40" i="9"/>
  <c r="F49" i="9" s="1"/>
  <c r="R40" i="9"/>
  <c r="R49" i="9" s="1"/>
  <c r="K31" i="5"/>
  <c r="K28" i="5" s="1"/>
  <c r="K16" i="8"/>
  <c r="C12" i="5"/>
  <c r="K15" i="5"/>
  <c r="K12" i="5" s="1"/>
  <c r="L40" i="9"/>
  <c r="L49" i="9" s="1"/>
  <c r="F41" i="9"/>
  <c r="F50" i="9" s="1"/>
  <c r="H32" i="9"/>
  <c r="G41" i="9" s="1"/>
  <c r="G50" i="9" s="1"/>
  <c r="H33" i="9"/>
  <c r="T32" i="9"/>
  <c r="S41" i="9" s="1"/>
  <c r="S50" i="9" s="1"/>
  <c r="T33" i="9"/>
  <c r="O37" i="9"/>
  <c r="O46" i="9" s="1"/>
  <c r="H38" i="9"/>
  <c r="H47" i="9" s="1"/>
  <c r="T38" i="9"/>
  <c r="K41" i="9"/>
  <c r="K50" i="9" s="1"/>
  <c r="E56" i="9"/>
  <c r="G39" i="9"/>
  <c r="G48" i="9" s="1"/>
  <c r="C40" i="9"/>
  <c r="C49" i="9" s="1"/>
  <c r="V55" i="9"/>
  <c r="O40" i="9"/>
  <c r="O49" i="9" s="1"/>
  <c r="K38" i="9"/>
  <c r="K47" i="9" s="1"/>
  <c r="M39" i="9"/>
  <c r="M48" i="9" s="1"/>
  <c r="D71" i="9"/>
  <c r="D40" i="9"/>
  <c r="D49" i="9" s="1"/>
  <c r="D75" i="9" s="1"/>
  <c r="P40" i="9"/>
  <c r="P49" i="9" s="1"/>
  <c r="G37" i="9"/>
  <c r="G46" i="9" s="1"/>
  <c r="S37" i="9"/>
  <c r="S46" i="9" s="1"/>
  <c r="L38" i="9"/>
  <c r="L47" i="9" s="1"/>
  <c r="S39" i="9"/>
  <c r="S48" i="9" s="1"/>
  <c r="N33" i="9"/>
  <c r="N32" i="9"/>
  <c r="K42" i="9"/>
  <c r="K51" i="9" s="1"/>
  <c r="I37" i="9"/>
  <c r="I46" i="9" s="1"/>
  <c r="C38" i="9"/>
  <c r="C47" i="9" s="1"/>
  <c r="N38" i="9"/>
  <c r="N47" i="9" s="1"/>
  <c r="O33" i="9"/>
  <c r="O32" i="9"/>
  <c r="N39" i="9"/>
  <c r="N48" i="9" s="1"/>
  <c r="G40" i="9"/>
  <c r="G49" i="9" s="1"/>
  <c r="S40" i="9"/>
  <c r="S49" i="9" s="1"/>
  <c r="H40" i="9"/>
  <c r="H49" i="9" s="1"/>
  <c r="T40" i="9"/>
  <c r="K37" i="9"/>
  <c r="K46" i="9" s="1"/>
  <c r="D38" i="9"/>
  <c r="D47" i="9" s="1"/>
  <c r="D66" i="9" s="1"/>
  <c r="P38" i="9"/>
  <c r="P47" i="9" s="1"/>
  <c r="M40" i="9"/>
  <c r="M49" i="9" s="1"/>
  <c r="I40" i="9"/>
  <c r="I49" i="9" s="1"/>
  <c r="L37" i="9"/>
  <c r="L46" i="9" s="1"/>
  <c r="E38" i="9"/>
  <c r="E47" i="9" s="1"/>
  <c r="E66" i="9" s="1"/>
  <c r="Q38" i="9"/>
  <c r="Q47" i="9" s="1"/>
  <c r="G59" i="9"/>
  <c r="M32" i="9"/>
  <c r="L41" i="9" s="1"/>
  <c r="L50" i="9" s="1"/>
  <c r="F33" i="9"/>
  <c r="E42" i="9" s="1"/>
  <c r="E51" i="9" s="1"/>
  <c r="E77" i="9" s="1"/>
  <c r="R33" i="9"/>
  <c r="Q42" i="9" s="1"/>
  <c r="Q51" i="9" s="1"/>
  <c r="D64" i="9"/>
  <c r="G33" i="9"/>
  <c r="S33" i="9"/>
  <c r="E64" i="9"/>
  <c r="E39" i="9"/>
  <c r="E48" i="9" s="1"/>
  <c r="E67" i="9" s="1"/>
  <c r="C37" i="9"/>
  <c r="C46" i="9" s="1"/>
  <c r="F64" i="9"/>
  <c r="D32" i="9"/>
  <c r="D41" i="9" s="1"/>
  <c r="D50" i="9" s="1"/>
  <c r="P32" i="9"/>
  <c r="I33" i="9"/>
  <c r="U33" i="9"/>
  <c r="G62" i="9"/>
  <c r="J33" i="9"/>
  <c r="J42" i="9" s="1"/>
  <c r="J51" i="9" s="1"/>
  <c r="I39" i="9"/>
  <c r="I48" i="9" s="1"/>
  <c r="M33" i="9"/>
  <c r="L42" i="9" s="1"/>
  <c r="L51" i="9" s="1"/>
  <c r="G58" i="9"/>
  <c r="E70" i="9"/>
  <c r="F71" i="9"/>
  <c r="J39" i="9"/>
  <c r="J48" i="9" s="1"/>
  <c r="H62" i="10" l="1"/>
  <c r="H70" i="10" s="1"/>
  <c r="H71" i="10" s="1"/>
  <c r="H72" i="10" s="1"/>
  <c r="H73" i="10" s="1"/>
  <c r="H74" i="10" s="1"/>
  <c r="H75" i="10" s="1"/>
  <c r="H76" i="10" s="1"/>
  <c r="O17" i="8"/>
  <c r="G68" i="10"/>
  <c r="H60" i="10"/>
  <c r="H68" i="10" s="1"/>
  <c r="G64" i="10"/>
  <c r="H67" i="10"/>
  <c r="I54" i="10"/>
  <c r="K54" i="10" s="1"/>
  <c r="J54" i="10"/>
  <c r="F69" i="9"/>
  <c r="F76" i="9"/>
  <c r="F56" i="9"/>
  <c r="G56" i="9" s="1"/>
  <c r="E69" i="9"/>
  <c r="E76" i="9"/>
  <c r="F66" i="9"/>
  <c r="V66" i="9" s="1"/>
  <c r="F73" i="9"/>
  <c r="F68" i="9"/>
  <c r="F75" i="9"/>
  <c r="N41" i="9"/>
  <c r="N50" i="9" s="1"/>
  <c r="F67" i="9"/>
  <c r="F74" i="9"/>
  <c r="E68" i="9"/>
  <c r="E75" i="9"/>
  <c r="D65" i="9"/>
  <c r="H59" i="9"/>
  <c r="I59" i="9" s="1"/>
  <c r="R42" i="9"/>
  <c r="R51" i="9" s="1"/>
  <c r="N42" i="9"/>
  <c r="N51" i="9" s="1"/>
  <c r="D77" i="9"/>
  <c r="T42" i="9"/>
  <c r="T51" i="9" s="1"/>
  <c r="H42" i="9"/>
  <c r="H51" i="9" s="1"/>
  <c r="T46" i="9"/>
  <c r="D72" i="9"/>
  <c r="V72" i="9" s="1"/>
  <c r="F65" i="9"/>
  <c r="D68" i="9"/>
  <c r="O41" i="9"/>
  <c r="O50" i="9" s="1"/>
  <c r="E65" i="9"/>
  <c r="M42" i="9"/>
  <c r="M51" i="9" s="1"/>
  <c r="E57" i="9"/>
  <c r="P39" i="9"/>
  <c r="P48" i="9" s="1"/>
  <c r="G42" i="9"/>
  <c r="G51" i="9" s="1"/>
  <c r="I59" i="10"/>
  <c r="I67" i="10" s="1"/>
  <c r="D73" i="10"/>
  <c r="H66" i="10"/>
  <c r="I58" i="10"/>
  <c r="J58" i="10" s="1"/>
  <c r="H56" i="10"/>
  <c r="I57" i="10"/>
  <c r="H63" i="10"/>
  <c r="I55" i="10"/>
  <c r="I63" i="10" s="1"/>
  <c r="I56" i="10"/>
  <c r="I64" i="10" s="1"/>
  <c r="F71" i="10"/>
  <c r="G65" i="10"/>
  <c r="G55" i="4"/>
  <c r="H55" i="4" s="1"/>
  <c r="I50" i="4"/>
  <c r="E44" i="4"/>
  <c r="G47" i="4"/>
  <c r="F58" i="4"/>
  <c r="G58" i="4" s="1"/>
  <c r="H58" i="4" s="1"/>
  <c r="G23" i="4"/>
  <c r="H23" i="4" s="1"/>
  <c r="E20" i="4"/>
  <c r="J26" i="4"/>
  <c r="K26" i="4" s="1"/>
  <c r="J50" i="4"/>
  <c r="K50" i="4" s="1"/>
  <c r="G39" i="4"/>
  <c r="I42" i="4"/>
  <c r="J42" i="4" s="1"/>
  <c r="G31" i="4"/>
  <c r="G34" i="4"/>
  <c r="H34" i="4" s="1"/>
  <c r="E28" i="4"/>
  <c r="G7" i="4"/>
  <c r="I7" i="4" s="1"/>
  <c r="J7" i="4" s="1"/>
  <c r="G10" i="4"/>
  <c r="H7" i="4"/>
  <c r="H15" i="4"/>
  <c r="H18" i="4"/>
  <c r="E52" i="4"/>
  <c r="F44" i="4"/>
  <c r="F36" i="4"/>
  <c r="E36" i="4"/>
  <c r="E12" i="4"/>
  <c r="F20" i="4"/>
  <c r="F28" i="4"/>
  <c r="F12" i="4"/>
  <c r="D69" i="9"/>
  <c r="D76" i="9"/>
  <c r="O42" i="9"/>
  <c r="O51" i="9" s="1"/>
  <c r="AK18" i="8"/>
  <c r="AK16" i="8" s="1"/>
  <c r="H62" i="9"/>
  <c r="I62" i="9" s="1"/>
  <c r="F42" i="9"/>
  <c r="F51" i="9" s="1"/>
  <c r="U40" i="9"/>
  <c r="U49" i="9" s="1"/>
  <c r="T49" i="9"/>
  <c r="C41" i="9"/>
  <c r="C50" i="9" s="1"/>
  <c r="C32" i="9"/>
  <c r="T41" i="9"/>
  <c r="T39" i="9"/>
  <c r="O39" i="9"/>
  <c r="O48" i="9" s="1"/>
  <c r="C33" i="9"/>
  <c r="C42" i="9"/>
  <c r="C51" i="9" s="1"/>
  <c r="H41" i="9"/>
  <c r="H50" i="9" s="1"/>
  <c r="H58" i="9"/>
  <c r="I58" i="9" s="1"/>
  <c r="J58" i="9" s="1"/>
  <c r="T47" i="9"/>
  <c r="U38" i="9"/>
  <c r="U47" i="9" s="1"/>
  <c r="I42" i="9"/>
  <c r="I51" i="9" s="1"/>
  <c r="D39" i="9"/>
  <c r="D48" i="9" s="1"/>
  <c r="D67" i="9" s="1"/>
  <c r="K39" i="9"/>
  <c r="K48" i="9" s="1"/>
  <c r="C39" i="9"/>
  <c r="C48" i="9" s="1"/>
  <c r="G60" i="9"/>
  <c r="G61" i="9"/>
  <c r="Q39" i="9"/>
  <c r="Q48" i="9" s="1"/>
  <c r="S42" i="9"/>
  <c r="S51" i="9" s="1"/>
  <c r="P41" i="9"/>
  <c r="P50" i="9" s="1"/>
  <c r="M41" i="9"/>
  <c r="M50" i="9" s="1"/>
  <c r="AJ18" i="8"/>
  <c r="AJ16" i="8" s="1"/>
  <c r="K62" i="10" l="1"/>
  <c r="K70" i="10" s="1"/>
  <c r="K71" i="10" s="1"/>
  <c r="K72" i="10" s="1"/>
  <c r="K73" i="10" s="1"/>
  <c r="K74" i="10" s="1"/>
  <c r="K75" i="10" s="1"/>
  <c r="K76" i="10" s="1"/>
  <c r="L54" i="10"/>
  <c r="J62" i="10"/>
  <c r="J70" i="10" s="1"/>
  <c r="J71" i="10" s="1"/>
  <c r="J72" i="10" s="1"/>
  <c r="J73" i="10" s="1"/>
  <c r="J74" i="10" s="1"/>
  <c r="J75" i="10" s="1"/>
  <c r="J76" i="10" s="1"/>
  <c r="Q17" i="8"/>
  <c r="I62" i="10"/>
  <c r="I70" i="10" s="1"/>
  <c r="I71" i="10" s="1"/>
  <c r="I72" i="10" s="1"/>
  <c r="I73" i="10" s="1"/>
  <c r="I74" i="10" s="1"/>
  <c r="I75" i="10" s="1"/>
  <c r="I76" i="10" s="1"/>
  <c r="P17" i="8"/>
  <c r="I60" i="10"/>
  <c r="V69" i="9"/>
  <c r="E73" i="9"/>
  <c r="V67" i="9"/>
  <c r="D73" i="9"/>
  <c r="AL18" i="8"/>
  <c r="AL16" i="8" s="1"/>
  <c r="V68" i="9"/>
  <c r="H56" i="9"/>
  <c r="I56" i="9" s="1"/>
  <c r="J56" i="9" s="1"/>
  <c r="F57" i="9"/>
  <c r="G57" i="9" s="1"/>
  <c r="H57" i="9" s="1"/>
  <c r="F70" i="9"/>
  <c r="V70" i="9" s="1"/>
  <c r="F77" i="9"/>
  <c r="V76" i="9"/>
  <c r="H61" i="9"/>
  <c r="I61" i="9" s="1"/>
  <c r="U42" i="9"/>
  <c r="U51" i="9" s="1"/>
  <c r="V65" i="9"/>
  <c r="F84" i="9" s="1"/>
  <c r="G13" i="7" s="1"/>
  <c r="J59" i="10"/>
  <c r="J56" i="10"/>
  <c r="J64" i="10" s="1"/>
  <c r="J55" i="10"/>
  <c r="J63" i="10" s="1"/>
  <c r="J66" i="10"/>
  <c r="K58" i="10"/>
  <c r="I66" i="10"/>
  <c r="F72" i="10"/>
  <c r="I65" i="10"/>
  <c r="J57" i="10"/>
  <c r="H64" i="10"/>
  <c r="D74" i="10"/>
  <c r="M54" i="10"/>
  <c r="H47" i="4"/>
  <c r="G28" i="4"/>
  <c r="I23" i="4"/>
  <c r="J23" i="4" s="1"/>
  <c r="G20" i="4"/>
  <c r="I34" i="4"/>
  <c r="F52" i="4"/>
  <c r="H31" i="4"/>
  <c r="I31" i="4" s="1"/>
  <c r="J31" i="4" s="1"/>
  <c r="I58" i="4"/>
  <c r="J58" i="4" s="1"/>
  <c r="K58" i="4" s="1"/>
  <c r="I55" i="4"/>
  <c r="J55" i="4" s="1"/>
  <c r="H39" i="4"/>
  <c r="I39" i="4"/>
  <c r="J39" i="4" s="1"/>
  <c r="K42" i="4"/>
  <c r="I18" i="4"/>
  <c r="J18" i="4" s="1"/>
  <c r="H10" i="4"/>
  <c r="H4" i="4" s="1"/>
  <c r="G4" i="4"/>
  <c r="I15" i="4"/>
  <c r="J15" i="4" s="1"/>
  <c r="L16" i="8"/>
  <c r="V75" i="9"/>
  <c r="H60" i="9"/>
  <c r="I60" i="9" s="1"/>
  <c r="J62" i="9"/>
  <c r="G44" i="4"/>
  <c r="G12" i="4"/>
  <c r="G36" i="4"/>
  <c r="H12" i="4"/>
  <c r="G52" i="4"/>
  <c r="K58" i="9"/>
  <c r="T48" i="9"/>
  <c r="U39" i="9"/>
  <c r="U48" i="9" s="1"/>
  <c r="M16" i="8"/>
  <c r="G64" i="9"/>
  <c r="T50" i="9"/>
  <c r="U41" i="9"/>
  <c r="U50" i="9" s="1"/>
  <c r="J59" i="9"/>
  <c r="K59" i="9" s="1"/>
  <c r="T17" i="8" l="1"/>
  <c r="J67" i="10"/>
  <c r="L62" i="10"/>
  <c r="L70" i="10" s="1"/>
  <c r="L71" i="10" s="1"/>
  <c r="L72" i="10" s="1"/>
  <c r="L73" i="10" s="1"/>
  <c r="L74" i="10" s="1"/>
  <c r="L75" i="10" s="1"/>
  <c r="L76" i="10" s="1"/>
  <c r="K66" i="10"/>
  <c r="L58" i="10"/>
  <c r="R17" i="8"/>
  <c r="I68" i="10"/>
  <c r="J60" i="10"/>
  <c r="J68" i="10" s="1"/>
  <c r="K60" i="10"/>
  <c r="K68" i="10" s="1"/>
  <c r="L60" i="10"/>
  <c r="L68" i="10" s="1"/>
  <c r="F88" i="9"/>
  <c r="J13" i="7" s="1"/>
  <c r="H64" i="9"/>
  <c r="H71" i="9" s="1"/>
  <c r="AN18" i="8" s="1"/>
  <c r="AN16" i="8" s="1"/>
  <c r="F87" i="9"/>
  <c r="L13" i="7" s="1"/>
  <c r="I57" i="9"/>
  <c r="J57" i="9" s="1"/>
  <c r="K57" i="9" s="1"/>
  <c r="L57" i="9" s="1"/>
  <c r="E74" i="9"/>
  <c r="D74" i="9"/>
  <c r="L59" i="9"/>
  <c r="L58" i="9"/>
  <c r="M58" i="9" s="1"/>
  <c r="V58" i="9" s="1"/>
  <c r="K62" i="9"/>
  <c r="L62" i="9" s="1"/>
  <c r="V73" i="9"/>
  <c r="F85" i="9" s="1"/>
  <c r="H13" i="7" s="1"/>
  <c r="L66" i="10"/>
  <c r="M58" i="10"/>
  <c r="M66" i="10" s="1"/>
  <c r="V66" i="10" s="1"/>
  <c r="K59" i="10"/>
  <c r="K67" i="10" s="1"/>
  <c r="K55" i="10"/>
  <c r="K56" i="10"/>
  <c r="M62" i="10"/>
  <c r="V54" i="10"/>
  <c r="D75" i="10"/>
  <c r="F73" i="10"/>
  <c r="J65" i="10"/>
  <c r="K57" i="10"/>
  <c r="L57" i="10" s="1"/>
  <c r="I47" i="4"/>
  <c r="J47" i="4" s="1"/>
  <c r="H28" i="4"/>
  <c r="J34" i="4"/>
  <c r="J28" i="4" s="1"/>
  <c r="I10" i="4"/>
  <c r="J10" i="4" s="1"/>
  <c r="K10" i="4" s="1"/>
  <c r="K31" i="4"/>
  <c r="I28" i="4"/>
  <c r="K18" i="4"/>
  <c r="L18" i="4" s="1"/>
  <c r="L12" i="4" s="1"/>
  <c r="V77" i="9"/>
  <c r="F89" i="9" s="1"/>
  <c r="I13" i="7" s="1"/>
  <c r="J60" i="9"/>
  <c r="K60" i="9" s="1"/>
  <c r="H36" i="4"/>
  <c r="L50" i="4"/>
  <c r="L44" i="4" s="1"/>
  <c r="I12" i="4"/>
  <c r="L58" i="4"/>
  <c r="L52" i="4" s="1"/>
  <c r="L26" i="4"/>
  <c r="L20" i="4" s="1"/>
  <c r="I4" i="4"/>
  <c r="H52" i="4"/>
  <c r="I52" i="4"/>
  <c r="H20" i="4"/>
  <c r="K56" i="9"/>
  <c r="G71" i="9"/>
  <c r="O16" i="8"/>
  <c r="I64" i="9"/>
  <c r="I71" i="9" s="1"/>
  <c r="AO18" i="8" s="1"/>
  <c r="AO16" i="8" s="1"/>
  <c r="J61" i="9"/>
  <c r="J64" i="9"/>
  <c r="J71" i="9" s="1"/>
  <c r="AP18" i="8" s="1"/>
  <c r="AP16" i="8" s="1"/>
  <c r="N16" i="8"/>
  <c r="M60" i="10" l="1"/>
  <c r="M68" i="10" s="1"/>
  <c r="V68" i="10" s="1"/>
  <c r="K64" i="10"/>
  <c r="L56" i="10"/>
  <c r="K63" i="10"/>
  <c r="L55" i="10"/>
  <c r="S17" i="8"/>
  <c r="L59" i="10"/>
  <c r="V74" i="9"/>
  <c r="F86" i="9" s="1"/>
  <c r="K13" i="7" s="1"/>
  <c r="L56" i="9"/>
  <c r="L64" i="9" s="1"/>
  <c r="L71" i="9" s="1"/>
  <c r="L60" i="9"/>
  <c r="M60" i="9" s="1"/>
  <c r="V60" i="9" s="1"/>
  <c r="C87" i="9" s="1"/>
  <c r="M62" i="9"/>
  <c r="V62" i="9" s="1"/>
  <c r="C89" i="9" s="1"/>
  <c r="V60" i="10"/>
  <c r="C88" i="10" s="1"/>
  <c r="L67" i="10"/>
  <c r="V58" i="10"/>
  <c r="C86" i="10" s="1"/>
  <c r="M55" i="10"/>
  <c r="K65" i="10"/>
  <c r="L65" i="10"/>
  <c r="M57" i="10"/>
  <c r="M65" i="10" s="1"/>
  <c r="F74" i="10"/>
  <c r="D76" i="10"/>
  <c r="M70" i="10"/>
  <c r="V62" i="10"/>
  <c r="C82" i="10" s="1"/>
  <c r="K34" i="4"/>
  <c r="L34" i="4" s="1"/>
  <c r="L28" i="4" s="1"/>
  <c r="K28" i="4"/>
  <c r="M34" i="4"/>
  <c r="M28" i="4" s="1"/>
  <c r="M57" i="9"/>
  <c r="H44" i="4"/>
  <c r="I44" i="4"/>
  <c r="I36" i="4"/>
  <c r="L10" i="4"/>
  <c r="L4" i="4" s="1"/>
  <c r="J52" i="4"/>
  <c r="M50" i="4"/>
  <c r="M44" i="4" s="1"/>
  <c r="M58" i="4"/>
  <c r="M52" i="4" s="1"/>
  <c r="M26" i="4"/>
  <c r="M20" i="4" s="1"/>
  <c r="M18" i="4"/>
  <c r="M12" i="4" s="1"/>
  <c r="I20" i="4"/>
  <c r="J20" i="4"/>
  <c r="J12" i="4"/>
  <c r="K15" i="4"/>
  <c r="K12" i="4" s="1"/>
  <c r="K39" i="4"/>
  <c r="J4" i="4"/>
  <c r="K7" i="4"/>
  <c r="K4" i="4" s="1"/>
  <c r="M59" i="9"/>
  <c r="V59" i="9" s="1"/>
  <c r="K61" i="9"/>
  <c r="AM18" i="8"/>
  <c r="AM16" i="8" s="1"/>
  <c r="C85" i="9"/>
  <c r="K64" i="9"/>
  <c r="K71" i="9" s="1"/>
  <c r="D82" i="10" l="1"/>
  <c r="F17" i="7"/>
  <c r="M56" i="9"/>
  <c r="M64" i="9" s="1"/>
  <c r="M71" i="9" s="1"/>
  <c r="V71" i="9" s="1"/>
  <c r="L61" i="9"/>
  <c r="M61" i="9" s="1"/>
  <c r="V61" i="9" s="1"/>
  <c r="C88" i="9" s="1"/>
  <c r="M59" i="10"/>
  <c r="M67" i="10" s="1"/>
  <c r="V67" i="10" s="1"/>
  <c r="L63" i="10"/>
  <c r="V65" i="10"/>
  <c r="L64" i="10"/>
  <c r="M56" i="10"/>
  <c r="M64" i="10" s="1"/>
  <c r="F75" i="10"/>
  <c r="M71" i="10"/>
  <c r="V70" i="10"/>
  <c r="E82" i="10" s="1"/>
  <c r="D86" i="10"/>
  <c r="M63" i="10"/>
  <c r="V55" i="10"/>
  <c r="D88" i="10"/>
  <c r="V57" i="10"/>
  <c r="N34" i="4"/>
  <c r="N28" i="4" s="1"/>
  <c r="J44" i="4"/>
  <c r="J36" i="4"/>
  <c r="M10" i="4"/>
  <c r="M4" i="4" s="1"/>
  <c r="P16" i="8"/>
  <c r="V57" i="9"/>
  <c r="C84" i="9" s="1"/>
  <c r="K55" i="4"/>
  <c r="K52" i="4" s="1"/>
  <c r="N50" i="4"/>
  <c r="N26" i="4"/>
  <c r="N20" i="4" s="1"/>
  <c r="N58" i="4"/>
  <c r="N18" i="4"/>
  <c r="N12" i="4" s="1"/>
  <c r="K23" i="4"/>
  <c r="K20" i="4" s="1"/>
  <c r="C86" i="9"/>
  <c r="Q16" i="8"/>
  <c r="V56" i="9" l="1"/>
  <c r="V64" i="9"/>
  <c r="E87" i="9" s="1"/>
  <c r="G87" i="9" s="1"/>
  <c r="L18" i="7" s="1"/>
  <c r="V59" i="10"/>
  <c r="C87" i="10" s="1"/>
  <c r="D87" i="10" s="1"/>
  <c r="V63" i="10"/>
  <c r="C83" i="10" s="1"/>
  <c r="D83" i="10" s="1"/>
  <c r="V56" i="10"/>
  <c r="V64" i="10"/>
  <c r="C84" i="10" s="1"/>
  <c r="D84" i="10" s="1"/>
  <c r="M72" i="10"/>
  <c r="V71" i="10"/>
  <c r="E83" i="10" s="1"/>
  <c r="F82" i="10"/>
  <c r="C85" i="10"/>
  <c r="D85" i="10" s="1"/>
  <c r="F76" i="10"/>
  <c r="O34" i="4"/>
  <c r="O28" i="4" s="1"/>
  <c r="K36" i="4"/>
  <c r="K47" i="4"/>
  <c r="K44" i="4" s="1"/>
  <c r="N10" i="4"/>
  <c r="N4" i="4" s="1"/>
  <c r="R16" i="8"/>
  <c r="O50" i="4"/>
  <c r="O44" i="4" s="1"/>
  <c r="N44" i="4"/>
  <c r="O26" i="4"/>
  <c r="O20" i="4" s="1"/>
  <c r="N52" i="4"/>
  <c r="O58" i="4"/>
  <c r="O52" i="4" s="1"/>
  <c r="O18" i="4"/>
  <c r="O12" i="4" s="1"/>
  <c r="C83" i="9"/>
  <c r="S16" i="8"/>
  <c r="G82" i="10" l="1"/>
  <c r="F12" i="7"/>
  <c r="E83" i="9"/>
  <c r="G83" i="9" s="1"/>
  <c r="E85" i="9"/>
  <c r="G85" i="9" s="1"/>
  <c r="H18" i="7" s="1"/>
  <c r="E86" i="9"/>
  <c r="G86" i="9" s="1"/>
  <c r="K18" i="7" s="1"/>
  <c r="E89" i="9"/>
  <c r="G89" i="9" s="1"/>
  <c r="I18" i="7" s="1"/>
  <c r="E88" i="9"/>
  <c r="G88" i="9" s="1"/>
  <c r="J18" i="7" s="1"/>
  <c r="E84" i="9"/>
  <c r="G84" i="9" s="1"/>
  <c r="G18" i="7" s="1"/>
  <c r="M73" i="10"/>
  <c r="V72" i="10"/>
  <c r="F83" i="10"/>
  <c r="L42" i="4"/>
  <c r="L36" i="4" s="1"/>
  <c r="O10" i="4"/>
  <c r="O4" i="4" s="1"/>
  <c r="D83" i="9"/>
  <c r="F18" i="7"/>
  <c r="D89" i="9"/>
  <c r="D87" i="9"/>
  <c r="D85" i="9"/>
  <c r="D84" i="9"/>
  <c r="D88" i="9"/>
  <c r="D86" i="9"/>
  <c r="T16" i="8"/>
  <c r="G83" i="10" l="1"/>
  <c r="G17" i="7" s="1"/>
  <c r="G12" i="7"/>
  <c r="G11" i="7" s="1"/>
  <c r="E84" i="10"/>
  <c r="F84" i="10"/>
  <c r="H12" i="7" s="1"/>
  <c r="H11" i="7" s="1"/>
  <c r="M74" i="10"/>
  <c r="V73" i="10"/>
  <c r="M42" i="4"/>
  <c r="M36" i="4" s="1"/>
  <c r="F11" i="7"/>
  <c r="G16" i="7"/>
  <c r="F85" i="10" l="1"/>
  <c r="K12" i="7" s="1"/>
  <c r="E85" i="10"/>
  <c r="G85" i="10" s="1"/>
  <c r="K17" i="7" s="1"/>
  <c r="M75" i="10"/>
  <c r="V74" i="10"/>
  <c r="G84" i="10"/>
  <c r="H17" i="7" s="1"/>
  <c r="H16" i="7" s="1"/>
  <c r="N42" i="4"/>
  <c r="N36" i="4" s="1"/>
  <c r="F16" i="7"/>
  <c r="F86" i="10" l="1"/>
  <c r="L12" i="7" s="1"/>
  <c r="L11" i="7" s="1"/>
  <c r="E86" i="10"/>
  <c r="M76" i="10"/>
  <c r="V76" i="10" s="1"/>
  <c r="V75" i="10"/>
  <c r="O42" i="4"/>
  <c r="O36" i="4" s="1"/>
  <c r="K11" i="7"/>
  <c r="G86" i="10" l="1"/>
  <c r="L17" i="7" s="1"/>
  <c r="L16" i="7" s="1"/>
  <c r="E87" i="10"/>
  <c r="F87" i="10"/>
  <c r="J12" i="7" s="1"/>
  <c r="J11" i="7" s="1"/>
  <c r="F88" i="10"/>
  <c r="I12" i="7" s="1"/>
  <c r="I11" i="7" s="1"/>
  <c r="E88" i="10"/>
  <c r="G88" i="10" s="1"/>
  <c r="I17" i="7" s="1"/>
  <c r="I16" i="7"/>
  <c r="K16" i="7"/>
  <c r="G87" i="10" l="1"/>
  <c r="J17" i="7" s="1"/>
  <c r="J16" i="7" s="1"/>
</calcChain>
</file>

<file path=xl/sharedStrings.xml><?xml version="1.0" encoding="utf-8"?>
<sst xmlns="http://schemas.openxmlformats.org/spreadsheetml/2006/main" count="1229" uniqueCount="269">
  <si>
    <t>O/N</t>
  </si>
  <si>
    <t>Max. osnovni dep. %</t>
  </si>
  <si>
    <t>&gt; О/N ≤ 1 мј.</t>
  </si>
  <si>
    <t>&gt; 1 мј. ≤ 3 мј.</t>
  </si>
  <si>
    <t>&gt; 3 мј. ≤ 6 мј.</t>
  </si>
  <si>
    <t>&gt; 6 мј. ≤ 9 мј.</t>
  </si>
  <si>
    <t>&gt; 9 мј. ≤ 12 мј.</t>
  </si>
  <si>
    <t>AO</t>
  </si>
  <si>
    <t xml:space="preserve"> </t>
  </si>
  <si>
    <t>Floor</t>
  </si>
  <si>
    <t>Scenario:</t>
  </si>
  <si>
    <t>Депозити без уговореног рока доспијећа</t>
  </si>
  <si>
    <t>Паралелни шок раста</t>
  </si>
  <si>
    <t>Паралелни шок пада</t>
  </si>
  <si>
    <t>Шок нагиба</t>
  </si>
  <si>
    <t>Шок поравнања</t>
  </si>
  <si>
    <t>Шок раста краткорочних каматних стопа</t>
  </si>
  <si>
    <t>Шок пада краткорочних каматних стопа</t>
  </si>
  <si>
    <t xml:space="preserve">    Основни сценарио</t>
  </si>
  <si>
    <t>&gt; 12 мј. ≤ 1,5 г.</t>
  </si>
  <si>
    <t>&gt; 1,5 г. ≤ 2 г.</t>
  </si>
  <si>
    <t>&gt; 2 г. ≤ 3 г.</t>
  </si>
  <si>
    <t>&gt; 3 г. ≤ 4 г.</t>
  </si>
  <si>
    <t>&gt; 4 г. ≤ 5 г.</t>
  </si>
  <si>
    <t>&gt; 5 г. ≤ 6 г.</t>
  </si>
  <si>
    <t>&gt; 6 г. ≤ 7 г.</t>
  </si>
  <si>
    <t>&gt; 7 г. ≤ 8 г.</t>
  </si>
  <si>
    <t>&gt; 8 г. ≤ 9 г.</t>
  </si>
  <si>
    <t>&gt; 9 г. ≤ 10 г.</t>
  </si>
  <si>
    <t>&gt; 10 г. ≤ 15 г.</t>
  </si>
  <si>
    <t>&gt; 15 г. ≤ 20 г.</t>
  </si>
  <si>
    <t>&gt; 20 г.</t>
  </si>
  <si>
    <t>Трансакциони депозити и рачуни становништва</t>
  </si>
  <si>
    <t xml:space="preserve">    Шок нагиба</t>
  </si>
  <si>
    <t>Износ депозита</t>
  </si>
  <si>
    <t>Депозити финансијских клијената</t>
  </si>
  <si>
    <t>… од чега, стабилни депозити</t>
  </si>
  <si>
    <t>… од чега, нестабилни депозити</t>
  </si>
  <si>
    <t xml:space="preserve">    Раст краткорочних каматних стопа +</t>
  </si>
  <si>
    <t xml:space="preserve">    Пад краткорочних каматних стопа  -</t>
  </si>
  <si>
    <t xml:space="preserve">    Паралелни шок раста</t>
  </si>
  <si>
    <t xml:space="preserve">    Паралелни шок пада</t>
  </si>
  <si>
    <t>Пролазна стопа</t>
  </si>
  <si>
    <t>Коефицијент</t>
  </si>
  <si>
    <t>Константна компонента</t>
  </si>
  <si>
    <t>Промјенљива компонента</t>
  </si>
  <si>
    <t>Нетрансакциони депозити становништва</t>
  </si>
  <si>
    <t>…од чега, константна компонента</t>
  </si>
  <si>
    <t>… од чега, промјенљива компонента</t>
  </si>
  <si>
    <t>Макс. % константне компоненте</t>
  </si>
  <si>
    <t>Стопа пријевремене отплате</t>
  </si>
  <si>
    <t>&gt; О/N ≤ 1мј.</t>
  </si>
  <si>
    <t xml:space="preserve">    Шок поравнања</t>
  </si>
  <si>
    <t>Кредити са фиксном каматном стопом и могућношћу пријевремене отплате</t>
  </si>
  <si>
    <t>Уговорени износ</t>
  </si>
  <si>
    <t>Очекивани износ пријевремене отплате</t>
  </si>
  <si>
    <t>Oчекивани износ пријевремене отплате</t>
  </si>
  <si>
    <t>Становништво (портфолио 1)</t>
  </si>
  <si>
    <t>Становништво (портфолио 2)</t>
  </si>
  <si>
    <t>Орочени депозити са могућношћу пријевременог разорочења</t>
  </si>
  <si>
    <t>J 02.00 - ПРОЦЈЕНА ОСЈЕТЉИВОСТИ ПО ПОЗИЦИЈАМА БАНКАРСКЕ КЊИГЕ</t>
  </si>
  <si>
    <t>EВК</t>
  </si>
  <si>
    <t>НКП</t>
  </si>
  <si>
    <t>Тржишна вриједност инструмената</t>
  </si>
  <si>
    <t>Износ</t>
  </si>
  <si>
    <t>Трајање (n/a)</t>
  </si>
  <si>
    <t>010</t>
  </si>
  <si>
    <t>020</t>
  </si>
  <si>
    <t>030</t>
  </si>
  <si>
    <t>040</t>
  </si>
  <si>
    <t>050</t>
  </si>
  <si>
    <t>060</t>
  </si>
  <si>
    <t>070</t>
  </si>
  <si>
    <t>080</t>
  </si>
  <si>
    <t>090</t>
  </si>
  <si>
    <t>100</t>
  </si>
  <si>
    <t>110</t>
  </si>
  <si>
    <t>120</t>
  </si>
  <si>
    <t>130</t>
  </si>
  <si>
    <t>140</t>
  </si>
  <si>
    <t>150</t>
  </si>
  <si>
    <t>Ниво ЕВК - основни сценарио</t>
  </si>
  <si>
    <t>∆ ЕВК - паралелни шок раста</t>
  </si>
  <si>
    <t>∆ЕВК -  паралелни шок пада</t>
  </si>
  <si>
    <t>∆ЕВК - шок нагиба</t>
  </si>
  <si>
    <t>∆ЕВК - шок поравнања</t>
  </si>
  <si>
    <t>∆ЕВК - шок раста краткорочних каматних стопа</t>
  </si>
  <si>
    <t>∆ЕВК -  шок пада краткорочних каматних стопа</t>
  </si>
  <si>
    <t>Ниво НКП - основни сценарио</t>
  </si>
  <si>
    <t>∆НКП - паралелни шок раста</t>
  </si>
  <si>
    <t>Ниво тржишне вриједности - основни сценарио</t>
  </si>
  <si>
    <t>∆тржишне вриједности - паралелни шок раста</t>
  </si>
  <si>
    <t>∆тржишне вриједности -  паралелни шок пада</t>
  </si>
  <si>
    <t>УКУПНА КАМАТНО ОСЈЕТЉИВА ИМОВИНА</t>
  </si>
  <si>
    <t>од чега: аутоматска опционалност</t>
  </si>
  <si>
    <t>Централна банка</t>
  </si>
  <si>
    <t>Међубанкарске позајмице и дати депозити</t>
  </si>
  <si>
    <t>Кредити и остала потраживања</t>
  </si>
  <si>
    <t>Од чега: фиксна каматна стопа</t>
  </si>
  <si>
    <t>Од чега:неквалитетни кредити и остала потраживања</t>
  </si>
  <si>
    <t>Становништво</t>
  </si>
  <si>
    <t>Од чега:обезбијеђено стамбеним некретнинама</t>
  </si>
  <si>
    <t>Правна лица, изузев финансијских клијената</t>
  </si>
  <si>
    <t>Финансијски клијенти</t>
  </si>
  <si>
    <t>Дужничке хартије од вриједности</t>
  </si>
  <si>
    <t>Деривати - рачуноводство заштите</t>
  </si>
  <si>
    <t>160</t>
  </si>
  <si>
    <t>Заштита дужничких хартија од вриједности</t>
  </si>
  <si>
    <t>170</t>
  </si>
  <si>
    <t>Заштита остале имовине</t>
  </si>
  <si>
    <t>180</t>
  </si>
  <si>
    <t>Остало</t>
  </si>
  <si>
    <t>190</t>
  </si>
  <si>
    <t>Ванбилансна актива</t>
  </si>
  <si>
    <t>200</t>
  </si>
  <si>
    <t>УКУПНЕ КАМАТНО ОСЈЕТЉИВЕ ОБАВЕЗЕ</t>
  </si>
  <si>
    <t>210</t>
  </si>
  <si>
    <t>220</t>
  </si>
  <si>
    <t>230</t>
  </si>
  <si>
    <t>Међубанкарске обавезе и примљени депозити</t>
  </si>
  <si>
    <t>240</t>
  </si>
  <si>
    <t>Издате дужничке хартије од вриједности</t>
  </si>
  <si>
    <t>250</t>
  </si>
  <si>
    <t>260</t>
  </si>
  <si>
    <t>Од чега: инструменти додатног основног или допунског капитала</t>
  </si>
  <si>
    <t>270</t>
  </si>
  <si>
    <t>Трансакциони депозити становништва без уговореног рока доспијећа</t>
  </si>
  <si>
    <t>280</t>
  </si>
  <si>
    <t>290</t>
  </si>
  <si>
    <t>Од чега: константна компонента</t>
  </si>
  <si>
    <t>300</t>
  </si>
  <si>
    <t>Од чега: изузето из петогодишњег ограничења</t>
  </si>
  <si>
    <t>310</t>
  </si>
  <si>
    <t>Нетрансакциони депозити становништва без уговореног рока доспијећа</t>
  </si>
  <si>
    <t>320</t>
  </si>
  <si>
    <t>330</t>
  </si>
  <si>
    <t>340</t>
  </si>
  <si>
    <t>350</t>
  </si>
  <si>
    <t>Депозити правних лица без уговореног рока доспијећа, изузев финансијских клијената</t>
  </si>
  <si>
    <t>360</t>
  </si>
  <si>
    <t>370</t>
  </si>
  <si>
    <t>380</t>
  </si>
  <si>
    <t>390</t>
  </si>
  <si>
    <t>Депозити финансијских клијената без уговореног рока доспијећа</t>
  </si>
  <si>
    <t>400</t>
  </si>
  <si>
    <t>410</t>
  </si>
  <si>
    <t>Од чега: оперативни депозити дефинисани Одлуком о управљању ризиком ликвидности</t>
  </si>
  <si>
    <t>420</t>
  </si>
  <si>
    <t>Орочени депозити</t>
  </si>
  <si>
    <t>430</t>
  </si>
  <si>
    <t>440</t>
  </si>
  <si>
    <t>450</t>
  </si>
  <si>
    <t>460</t>
  </si>
  <si>
    <t>470</t>
  </si>
  <si>
    <t>480</t>
  </si>
  <si>
    <t>490</t>
  </si>
  <si>
    <t>500</t>
  </si>
  <si>
    <t>Заштита осталих обавеза</t>
  </si>
  <si>
    <t>510</t>
  </si>
  <si>
    <t>520</t>
  </si>
  <si>
    <t>Ванбилансна пасива</t>
  </si>
  <si>
    <t>530</t>
  </si>
  <si>
    <t>Остали деривати (нетирана имовина/обавезе)</t>
  </si>
  <si>
    <t>БИЉЕШКЕ</t>
  </si>
  <si>
    <t>540</t>
  </si>
  <si>
    <t>Нето каматно осјетљива позиција у дериватима</t>
  </si>
  <si>
    <t>550</t>
  </si>
  <si>
    <t>Укупна нето каматно осјетљива позиција - без деривата</t>
  </si>
  <si>
    <t>560</t>
  </si>
  <si>
    <t>Укупна нето каматно осјетљива позиција- са дериватима</t>
  </si>
  <si>
    <t>570</t>
  </si>
  <si>
    <t>Укупна имовина са утицајем на тржишну вриједност инструмената</t>
  </si>
  <si>
    <t>580</t>
  </si>
  <si>
    <t>590</t>
  </si>
  <si>
    <t>Деривати</t>
  </si>
  <si>
    <t>600</t>
  </si>
  <si>
    <t>610</t>
  </si>
  <si>
    <t>Укупне обавезе са утицајем на тржишну вриједност инструмената</t>
  </si>
  <si>
    <t>620</t>
  </si>
  <si>
    <t>630</t>
  </si>
  <si>
    <t>640</t>
  </si>
  <si>
    <t>Примјер 1</t>
  </si>
  <si>
    <t>Примјер 2</t>
  </si>
  <si>
    <t xml:space="preserve">J 05.00 - ПРОЦИЈЕЊИВАЊЕ НОВЧАНИХ ТОКОВА </t>
  </si>
  <si>
    <t>Валута:</t>
  </si>
  <si>
    <t>ФИКСНА КАМАТНА СТОПА</t>
  </si>
  <si>
    <t>ПРОМЈЕНЉИВА КАМАТНА СТОПА</t>
  </si>
  <si>
    <t>Просјечна пондерисана каматна стопа</t>
  </si>
  <si>
    <t>Просјечна пондерисана рочност (уговорена)</t>
  </si>
  <si>
    <t>Временски разреди</t>
  </si>
  <si>
    <t>О/N</t>
  </si>
  <si>
    <t>% са уграђеном аутоматском опционалношћу</t>
  </si>
  <si>
    <t>Предмет бихевиоралног моделирања %</t>
  </si>
  <si>
    <t>Купљена</t>
  </si>
  <si>
    <t>Продата</t>
  </si>
  <si>
    <t>Од чега: неквалитетни кредити и остала потраживања</t>
  </si>
  <si>
    <t xml:space="preserve">    Од чега: обезбијеђено стамбеним некретнинама</t>
  </si>
  <si>
    <t>Кредити са фиксном каматном стопом са могућношћу пријевремене отплате</t>
  </si>
  <si>
    <t>Аутоматске опције - пријевремена отплата</t>
  </si>
  <si>
    <t>Каматна стопа</t>
  </si>
  <si>
    <t>Стање главнице на извјештајни датум</t>
  </si>
  <si>
    <t>Маржа</t>
  </si>
  <si>
    <t>Временски разреди, tk (средња тачка)</t>
  </si>
  <si>
    <t>Дисконтни фактор, DF</t>
  </si>
  <si>
    <t>РЕЗУЛТАТИ</t>
  </si>
  <si>
    <t>Принос</t>
  </si>
  <si>
    <t>Процјена банке</t>
  </si>
  <si>
    <t xml:space="preserve">   Паралелни шок раста</t>
  </si>
  <si>
    <t xml:space="preserve">    Пад краткорочних каматних стопа -</t>
  </si>
  <si>
    <t>Новчани ток од камате, Паралелни шок раста</t>
  </si>
  <si>
    <t>Новчани ток од камате, Паралелни шок пада</t>
  </si>
  <si>
    <t>Новчани ток од камате, Раст краткорочних каматних стопа</t>
  </si>
  <si>
    <t xml:space="preserve">Новчани ток од камате,  Пад краткорочних каматних стопа </t>
  </si>
  <si>
    <t>Новчани ток од камате, Шок нагиба</t>
  </si>
  <si>
    <t>Новчани ток од камате, Шок поравнања</t>
  </si>
  <si>
    <t xml:space="preserve">  Новчани ток од главнице, Раст краткорочних каматних стопа</t>
  </si>
  <si>
    <t xml:space="preserve">  Новчани ток од главнице, Пад краткорочних каматних стопа</t>
  </si>
  <si>
    <t xml:space="preserve">   Новчани ток од главнице, Шок нагиба</t>
  </si>
  <si>
    <t xml:space="preserve">  Новчани ток од главнице,  Шок поравнања</t>
  </si>
  <si>
    <t xml:space="preserve"> Новчани ток од главнице</t>
  </si>
  <si>
    <t xml:space="preserve">  Новчани ток од главнице, Паралелни шок раста</t>
  </si>
  <si>
    <t xml:space="preserve">  Новчани ток од главнице, Паралелни шок пада</t>
  </si>
  <si>
    <t xml:space="preserve">  Новчани ток од главнице кредита (без опција) у складу са планом отплате</t>
  </si>
  <si>
    <t xml:space="preserve">  Новчани ток од главнице, Основни сценарио</t>
  </si>
  <si>
    <t>ЕВК</t>
  </si>
  <si>
    <t>∆ ЕВК</t>
  </si>
  <si>
    <t>∆ ЕВК - АО</t>
  </si>
  <si>
    <t>∆ ЕВК*</t>
  </si>
  <si>
    <t>∆ ЕВК* увећан за волатилност 1,1</t>
  </si>
  <si>
    <t xml:space="preserve">  Временски разреди, tk (средња тачка)</t>
  </si>
  <si>
    <t xml:space="preserve">  Новчани ток од камате (без опција) у складу са планом отплате</t>
  </si>
  <si>
    <t xml:space="preserve">  Новчани ток од камате, Основни сценарио</t>
  </si>
  <si>
    <t xml:space="preserve">  Новчани ток од камате, Паралелни шок раста</t>
  </si>
  <si>
    <t xml:space="preserve">  Новчани ток од камате, Паралелни шок пада</t>
  </si>
  <si>
    <t xml:space="preserve">  Новчани ток од камате, Раст краткорочних каматних стопа</t>
  </si>
  <si>
    <t xml:space="preserve">  Новчани ток од камате,  Пад краткорочних каматних стопа </t>
  </si>
  <si>
    <t xml:space="preserve">  Новчани ток од камате, Шок нагиба</t>
  </si>
  <si>
    <t xml:space="preserve">  Новчани ток од камате, Шок поравнања</t>
  </si>
  <si>
    <t xml:space="preserve">    Раст дугорочних каматних стопа +</t>
  </si>
  <si>
    <t xml:space="preserve">    Пад дугорочних каматних стопа -</t>
  </si>
  <si>
    <r>
      <t xml:space="preserve">Кредити са промјенљивом каматном стопом и уграђеним опцијама - </t>
    </r>
    <r>
      <rPr>
        <i/>
        <sz val="8"/>
        <color theme="1"/>
        <rFont val="Aptos Display"/>
        <family val="2"/>
        <scheme val="major"/>
      </rPr>
      <t>floor</t>
    </r>
  </si>
  <si>
    <t>базних поена</t>
  </si>
  <si>
    <r>
      <rPr>
        <b/>
        <i/>
        <sz val="8"/>
        <rFont val="Aptos Display"/>
        <family val="2"/>
        <scheme val="major"/>
      </rPr>
      <t>Forward</t>
    </r>
    <r>
      <rPr>
        <b/>
        <sz val="8"/>
        <rFont val="Aptos Display"/>
        <family val="2"/>
        <scheme val="major"/>
      </rPr>
      <t xml:space="preserve"> стопа</t>
    </r>
  </si>
  <si>
    <r>
      <rPr>
        <b/>
        <i/>
        <sz val="8"/>
        <rFont val="Aptos Display"/>
        <family val="2"/>
        <scheme val="major"/>
      </rPr>
      <t>Forward</t>
    </r>
    <r>
      <rPr>
        <b/>
        <sz val="8"/>
        <rFont val="Aptos Display"/>
        <family val="2"/>
        <scheme val="major"/>
      </rPr>
      <t xml:space="preserve"> стопа + 3% маржа</t>
    </r>
  </si>
  <si>
    <t xml:space="preserve">  Новчани ток од главнице, Шок нагиба</t>
  </si>
  <si>
    <r>
      <t xml:space="preserve">Аутоматске опције - </t>
    </r>
    <r>
      <rPr>
        <b/>
        <i/>
        <sz val="8"/>
        <color theme="0"/>
        <rFont val="Aptos Display"/>
        <family val="2"/>
        <scheme val="major"/>
      </rPr>
      <t>floor</t>
    </r>
  </si>
  <si>
    <t>Промјенљиви дио каматне стопе (6M EURIBOR)</t>
  </si>
  <si>
    <t xml:space="preserve"> Новчани ток од главнице, Основни сценарио</t>
  </si>
  <si>
    <t xml:space="preserve"> Новчани ток од камате (план отплате, маржа)</t>
  </si>
  <si>
    <r>
      <t xml:space="preserve">Новчани ток од камате, Основни сценарио (без </t>
    </r>
    <r>
      <rPr>
        <i/>
        <sz val="8"/>
        <color theme="1"/>
        <rFont val="Aptos Display"/>
        <family val="2"/>
        <scheme val="major"/>
      </rPr>
      <t>floor</t>
    </r>
    <r>
      <rPr>
        <sz val="8"/>
        <color theme="1"/>
        <rFont val="Aptos Display"/>
        <family val="2"/>
        <scheme val="major"/>
      </rPr>
      <t>-а)</t>
    </r>
  </si>
  <si>
    <t>Шок</t>
  </si>
  <si>
    <t>Кредити</t>
  </si>
  <si>
    <t>Коефицијенти за прилагођавање по стресним сценаријима</t>
  </si>
  <si>
    <t>Депозити правних лица (изузев финансијских клијената)</t>
  </si>
  <si>
    <t>Правна лица (изузев финансијских клијената)</t>
  </si>
  <si>
    <t>У складу са чланом 7. став (7) Упутства, банка очекивани износ пријевремено разорочених депозита рачуна као производ орочених депозита појединачне групе хомогених производа, деноминованих у одређеној валути и припадајуће стопе пријевременог разорочења, прилагођене стресном сценарију и предефинисаним коефицијентима.
Уз претпоставку да је банка утврдила условну стопу пријевременог разорочења за конкретну валуту од 10% на износ од 50 (за портфолио "становништво 1") који је распоређен у временски разред (2г., 3г.), очекивани износ пријевременог разорочења се рачуна:
50*0,1=5
У складу са чланом 7. став (8) Упутства, очекивани износ пријевремено исплаћених депозита, у конкретном примјеру 5 се распоређује у временски разред О/N.
Наведени принцип распоређивања износа пријевремене отплате је идентичан за све врсте клијената, сваку појединачну групу хомогених производа и валуту за коју је утврђена пријевремена стопа исплате.  У зависности од врсте стресног сценарија, банка је дужна прилагодити условну стопу пријевременог разорочења на начин да исту множи утврђеним коефицијентима, односно за паралелни шок пада, шок нагиба и шок пада краткорочних каматних стопа множи са коефицијентом 0,8, а за паралелни шок раста, шок поравнања и шок раста краткорочних каматних стопа множи са коефицијентом 1,2. У датом примјеру условна стопа пријевремене отплате би износила 8% (10%*0,8), односно 12% (10%*1,2).</t>
  </si>
  <si>
    <t>Стопа пријевременог разорочења</t>
  </si>
  <si>
    <t>Очекивани износ пријевременог разорочења</t>
  </si>
  <si>
    <r>
      <t xml:space="preserve">* Кроз фајл ће бити коришћена скраћеница NMD (енгл. </t>
    </r>
    <r>
      <rPr>
        <i/>
        <sz val="10"/>
        <color theme="1"/>
        <rFont val="Aptos Narrow"/>
        <family val="2"/>
        <scheme val="minor"/>
      </rPr>
      <t>Non-Maturity Deposits</t>
    </r>
    <r>
      <rPr>
        <sz val="10"/>
        <color theme="1"/>
        <rFont val="Aptos Narrow"/>
        <family val="2"/>
        <scheme val="minor"/>
      </rPr>
      <t>)</t>
    </r>
  </si>
  <si>
    <t>Депозити (орочени)</t>
  </si>
  <si>
    <t>Дисконтовани новчани токови</t>
  </si>
  <si>
    <t xml:space="preserve">    Основни сценарио - неризична крива приноса</t>
  </si>
  <si>
    <r>
      <t xml:space="preserve">У складу са чланом 6. став (4) Упутства, банка за сваки временски разред, очекивани износ пријевремене отплате по временском разреду рачуна као производ: 
а)	износа кредита одређене хомогене групе производа са фиксном каматном стопом деноминованог у одређеној валути, при чему се износ кредита за одређени временски разред умањује за износе пријевремене отплате свих временских разреда који претходе конкретном временском разреду, и 
б)	припадајуће временски пондерисане условне стопе пријевремене отплате, која је добијена када се стопа дефинисана ставом 2. овог члана помножи дужином трајања припадајућег временског разреда из Табеле 1. (нпр. утврђена историјска стопа пријевремене отплате на годишњем нивоу је 3%. Припадајућа временски пондерисана условна стопа пријевремене отплате за временски разред преконоћно-1 мјесец, добије се множењем 1/12 и 3%. За временски разред од 1-3 мјесеца дата стопа добија се као производ 2/12 и 3% и тако даље), те прилагоди у складу са дефинисаним сценаријима и дефинисаним коефицијентима. 
Уз претпоставку да је банка утврдила условну стопу пријевремене отплате за конкретну валуту од 5% на износ од 100 (за портфолио "становништво 1"), који је распоређен према уговореном износу у временски разред (2г, 3г.),  очекивани износ пријевремене отплате за временске разреде се рачуна:
•	О/N – 0
•	(О/N, 1мј.) = 5%*(1/12)*(100-0) = 0,42
•	</t>
    </r>
    <r>
      <rPr>
        <sz val="8"/>
        <rFont val="Aptos Display"/>
        <family val="2"/>
        <scheme val="major"/>
      </rPr>
      <t>(1мј., 3мј.) = 5%*(2/12)*(100-(0+0,42)) = 0,83
•	(3мј., 6мј.) = 5%*(3/12)*(100-(0+0,42+0,83)) = 1,23
•	(6мј., 9мј.) = 5%*(3/12)*(100-(0+0,42+0,83+1,23)) = 1,22
•	(9мј., 12мј.) = 5%*(3/12)*(100-(0+0,42+0,83+1,23+1,22)) =1,20
•	(12мј.,1,5г.) = 5%*(6/12)*(100-(0+0,42+0,83+1,23+1,22+1,20)) = 2,38
•	(1.5г., 2г.) = 5%*(6/12)*(100-(0+0,42+0,83+1,23+1,22+1,20+2,38)) = 2,32
•	(2г., 3г.) = 100 - (0+0,42+0,83+1,23+1,22+1,20+2,38+2,32) = 90,40</t>
    </r>
    <r>
      <rPr>
        <sz val="8"/>
        <color theme="1"/>
        <rFont val="Aptos Display"/>
        <family val="2"/>
        <scheme val="major"/>
      </rPr>
      <t xml:space="preserve">
Наведени принцип распоређивања износа пријевремене отплате је идентичан за све врсте клијената, сваку појединачну групу хомогених производа и валуту за коју је утврђена пријевремена стопа отплате.
У зависности од врсте стресног сценарија, банка је дужна прилагодити условну стопу пријевремене отплате на начин да исту множи утврђеним коефицијентима, односно да за паралелни шок раста, шок нагиба и шок раста краткорочних каматних стопа множи са коефицијентом 0,8, а за паралелни шок пада, шок поравнања и шок пада краткорочних каматних стопа множи са коефицијентом 1,2. У датом примјеру условна стопа пријевремене отплате би износила 4% (5%*0,8), односно 6% (5%*1,2).</t>
    </r>
  </si>
  <si>
    <t>Основни сценарио - неризична крива приноса</t>
  </si>
  <si>
    <t>Кредити са промјенљивом каматном стопом са floor-ом</t>
  </si>
  <si>
    <r>
      <t xml:space="preserve">Новчани ток од камате, Основни сценарио (са </t>
    </r>
    <r>
      <rPr>
        <i/>
        <sz val="8"/>
        <color theme="1"/>
        <rFont val="Aptos Display"/>
        <family val="2"/>
        <scheme val="major"/>
      </rPr>
      <t>floor</t>
    </r>
    <r>
      <rPr>
        <sz val="8"/>
        <color theme="1"/>
        <rFont val="Aptos Display"/>
        <family val="2"/>
        <scheme val="major"/>
      </rPr>
      <t>-ом)</t>
    </r>
  </si>
  <si>
    <r>
      <t xml:space="preserve">У складу са чланом 5. став (8) Упутства,  константна компонента депозита без уговореног рока доспијећа треба бити распоређена конзистентно кроз временске разреде, засновано на историјском посматрању таквих депозита, уз примјену додатног ограничења израчунатог на основу пондерисаног просјека, те засебно по валутама: 
1) 5 година за трансакционе депозите без уговореног рока доспијећа становништва, 
2) 4,5 година за нетрансакционе депозите без уговореног рока доспијећа становништва, 
3) 4 године за депозите без уговореног рока доспијећа правних лица, изузев финансијских клијената. 
У складу са чланом 5. став (7) Упутства,  приликом утврђивања учешћа константне компоненте депозита без уговореног рока доспијећа примјењују се сљедећа ограничења:
1) максимално 90% од укупних трансакционих депозита без уговореног рока доспијећа становништва може се сматрати константним, 
2) максимално 70% од укупних нетрансакционих депозита без уговореног рока доспијећа становништва може се сматрати константним, 
3) максимално 50% од укупних депозита без уговореног рока доспијећа правних лица изузев финансијских клијената може се сматрати константним. 
</t>
    </r>
    <r>
      <rPr>
        <u/>
        <sz val="8"/>
        <color theme="1"/>
        <rFont val="Aptos Display"/>
        <family val="2"/>
        <scheme val="major"/>
      </rPr>
      <t>Распоређивање трансакционих депозита становништва</t>
    </r>
    <r>
      <rPr>
        <sz val="8"/>
        <color theme="1"/>
        <rFont val="Aptos Display"/>
        <family val="2"/>
        <scheme val="major"/>
      </rPr>
      <t xml:space="preserve">
Од номиналног износа депозита од 110 јединица, 10 се односи на дио који не испуњава услове да би се одредио као стабилан. На износ стабилних депозита од 100 јединица примјењује се пролазна стопа од 20%, те се 80 може сматрати константном компонентом. Од дијела који се сматра константном компонентом претпоставимо да се 40 распоређује у временски разред (9мј, 12мј), а преосталих 40 у (5г, 6г). Најдужи могући просјечни рок доспијећа је (40 x 1г + 40 x 6г) / 80 = 3,5 година, што је мање од услова дефинисаног чланом 5. Став (8) тачка 1) Упутства. Омјер константне компоненте је 80/110=72,7%, што је у складу са ограничењем дефинисаним чланом 5. став (7) тачка 1).
</t>
    </r>
    <r>
      <rPr>
        <u/>
        <sz val="8"/>
        <color theme="1"/>
        <rFont val="Aptos Display"/>
        <family val="2"/>
        <scheme val="major"/>
      </rPr>
      <t xml:space="preserve">
Распоређивање нетрансакционих депозита становништва
</t>
    </r>
    <r>
      <rPr>
        <sz val="8"/>
        <color theme="1"/>
        <rFont val="Aptos Display"/>
        <family val="2"/>
        <scheme val="major"/>
      </rPr>
      <t>Од номиналног износа депозита од 120 јединица, 20 се односи на дио који не испуњава услове да би се одредио као стабилан. На износ стабилних депозита од 100 јединица примјењује се пролазна стопа од 20%, те се 80 може сматрати константном компонентом. Од дијела који се сматра константном компонентом претпоставимо да се 40 распоређује у временски разред (3г, 4г), а преосталих 40 у (9г, 10г). Најкраћи  могући просјечни рок доспијећа је (40 x 3г + 40 x 9г) / 80 = 6 година, што није у складу са условом дефинисаним чланом 5. Став (8) тачка 2) Упутства. С обзиром да распоређивање не испуњава дефинисане услове банка помијера салда из разреда (9г, 10г) у најближи претходни временски разред док се не задовољи дати услов. У овом примјеру то би значило помјерање салда у временски разред (8г, 9г) (40 x 3г + 40 x 8г) / 80 =5,5 година, што и даље не задовољава услов дефинисан чланом 5. став (8) тачка 2) Упутства. Поступак се наставља до испуњења услова, што у овом случају подразумијева помјерање износа у временски разред (6г, 7г.). Омјер константне компоненте је 80/120=66,7%, што је у складу са ограничењем дефинисаним чланом 5. став (7) тачка 2). 
За све врсте депозита без уговореног доспијећа који су подложни бихевиоралном моделирању, узимајући у обзир конзервативнији приступ, најкраћи могући рок доспијећа из временских разреда се узима у израчун када банка не испуњава услове дефинисане у члану 5. став (8) Упутства, а најдужи могући рок доспијећа из временских разреда када банка испуњава услове дефинисане у члану 5. став (8) Упутства.</t>
    </r>
  </si>
  <si>
    <r>
      <t xml:space="preserve">У складу са чланом 8. Упутства, у случају уграђених опција у финансијске инструменте, банка је дужна израчунати вриједност уграђених опција.
Претпоставка је да банка у портфолију има кредит са промјенљивом каматном стопом и ограничењем каматне стопе - floor. Уговорена каматна стопа се састоји од 3% марже и 2% варијабилног дијела, 6M EURIBOR. Уговорени floor је на 3%. Остатак дуга по поменутом кредиту на извјештајни датум износи 500. </t>
    </r>
    <r>
      <rPr>
        <u/>
        <sz val="9"/>
        <color theme="1"/>
        <rFont val="Aptos Display"/>
        <family val="2"/>
        <scheme val="major"/>
      </rPr>
      <t>Напомена:</t>
    </r>
    <r>
      <rPr>
        <sz val="9"/>
        <color theme="1"/>
        <rFont val="Aptos Display"/>
        <family val="2"/>
        <scheme val="major"/>
      </rPr>
      <t xml:space="preserve"> Износ камате и главнице према отплатном плану су хипотетички у сврхе овог примјера.
Временски разреди и средња тачка временског разреда је приказана у складу са Табелом 1, члана 3. Упутства. Параметризација шокова извршена је у складу са чланом 10. Упутства. Инструкције и вриједности шокова приказане су у складу са чланом 9. Упутства. За потребе основног сценарија, као и извјештавања према Агенцији,  безризичне стопе приноса су узете са Бањалучке берзе за 31.12.2024. (дисконтни фактор за валуту BAM по средњим тачкама временског разреда). У вриједности након примјене шокова (редови од 20 до 25), члан 11. Упутства је узет у обзир, а везано за доњу границу каматне стопе након шока која је -150 базних поена. Дисконтни фактори (редови од 27 до 33) су израчунати помоћу формуле из члана 12. став (2) Упутства, за сваки сценарио. Forward стопа је израчуната помоћу формуле из члана 17. став (3) Упутства и у израчуну је обавезно узети у обзир факторе од два сусједна временска разреда како би се добила вриједност forward стопе у средњој тачки временског разреда. </t>
    </r>
    <r>
      <rPr>
        <u/>
        <sz val="9"/>
        <color theme="1"/>
        <rFont val="Aptos Display"/>
        <family val="2"/>
        <scheme val="major"/>
      </rPr>
      <t>Напомена:</t>
    </r>
    <r>
      <rPr>
        <sz val="9"/>
        <color theme="1"/>
        <rFont val="Aptos Display"/>
        <family val="2"/>
        <scheme val="major"/>
      </rPr>
      <t xml:space="preserve"> за први посматрани временски разред, вриједност након шока се преписује, а за последњи временски разред (&gt; 20 г.) узима се вриједност претходног временског разреда. 
Укупна forward стопа додатно укључује и маржу од 3% (редови од 45-51). Ћелије које су означене црвеном бојом у редовима од 45 до 51 приказују вриједности када је каматна стопа испод 3%, односно испод дефинисаног ограничења (floor-а). У редовима од 55 до 62 су приказани новчани токови главнице кредита у складу са планом отплате и очекиваним промјенама каматне стопе (члан 3. став (5) Упутства). У редовима од 63 до 70 приказани су новчани токови од камата у складу са планом отплате, и у редовима од 71 до 78 приказани су новчани токови од камата узимајући у обзир укупну forward стопу и дефинисано ограничење (floor).
За сваки сценарио и врсту новчаних токова, укупна вриједност дисконтованих новчаних токова је израчуната помоћу припадајућег дисконтног фактора. 
Табела РЕЗУЛТАТИ приказује вриједности ЕВК, ∆ ЕВК, ∆ ЕВК - аутоматске опције (АО), АО и ∆ ЕВК* након повећања АО од 1,1 у складу са чланом 8. став (2) Упутства за сваки сценарио. Примјер је такође приказан у сврху попуњавања образаца J02.00 и J05.00 (Примјер 2). Додатно, у оба извјештајна обрасца износ приказан у колони 010 за потребе извјештавања укључује стање дуга минус очекиване кредитне губитке. Због поједностављења у овом примјеру тај износ је 500.
Принцип вредновања уграђених аутоматских опција приказан у овом примјеру такође се може користити за вредновање аутоматских опција инструмената који имају ограничење каматне стопе одозго (енгл. </t>
    </r>
    <r>
      <rPr>
        <i/>
        <sz val="9"/>
        <color theme="1"/>
        <rFont val="Aptos Display"/>
        <family val="2"/>
        <scheme val="major"/>
      </rPr>
      <t>сар</t>
    </r>
    <r>
      <rPr>
        <sz val="9"/>
        <color theme="1"/>
        <rFont val="Aptos Display"/>
        <family val="2"/>
        <scheme val="major"/>
      </rPr>
      <t>).</t>
    </r>
  </si>
  <si>
    <t>У складу са чланом 8. Упутства, у случају уграђених опција у финансијске инструменте, банка је дужна израчунати вриједност уграђених опција.
Уколико банка у свом портфолију има кредит са фиксном каматном стопом са роком доспијећа 5 година и могућношћу пријевремене отплате и каматном стопом од 5% (неризична стопа: 2%; маржа: 3%). Стање главнице по кредиту на датум извјештавања: 500. Претпоставка банке: пријевремена отплата кредита извршиће се уколико је каматна стопа на тржишту испод вриједности наведене у ћелији Е51. Напомена: Вриједности камате и главнице према плану отплате су хипотетичке за потребе овог примјера.
Временски разреди и средња тачка временског разреда је приказана у складу са Табелом 1, члана 3. Упутства. Параметризација шокова извршена је у складу са чланом 10. Упутства. Инструкције и вриједности шокова приказане су у складу са чланом 9. Упутства. За потребе основног сценарија, као и извјештавања према Агенцији, безризичне стопе приноса су узете са Бањалучке берзе за 31.12.2024. (дисконтни фактор за валуту BAM по средњим тачкама временског разреда). 
У израчуну вриједности након примјене шокова (редови од 18 до 23), члан 11. Упутства је узет у обзир, а везано за доњу границу каматне стопе након шока која је -150 базних поена. Дисконтни фактори (редови од 25 до 31) су израчунати помоћу формуле из члана 12. став (2) Упутства, за сваки сценарио.
Forward стопа је израчуната помоћу формуле из члана 17. став (3) Упутства и у израчуну је обавезно узети у обзир факторе од два сусједна временска разреда како би се добила вриједност forward стопе у средњој тачки временског разреда.  Напомена: за први посматрани временски разред, вриједност након шока се преписује, а за посљедњи временски разред (&gt; 20 г.) узима се вриједност претходног временског разреда. 
У редовима од 43 до 49, ћелије које су означене црвеном бојом укључују претоставку банке за коришћење опција. На тај начин је назначен временски разред у ком је будућа укупна каматна стопа испод прага дефинисаног у ћелији Е51. На примјер, за паралелни шок пада, примјер опције која је сврстана у временски разред &gt; 3 г. ≤ 4 г., односно, претпоставка је да укупна forward стопа износи 338 базних поена, што је ниже од претпоставке банке да ће пријевремена отплата кредита бити извршена када каматне стопе падну испод 350 базних поена, те се  аутоматска опција пријевремене отплате кредита примјењује у том временском разреду. Са друге стране, у сценарију паралелног шока раста не долази до извршења опције, с обзиром да је уговорени рок доспијећа овог кредита 5 година.
За новчане токове главнице и камате (редови од 53 до 68) претпоставка је да се ради о кредитима у једнаким ануитетима са роком доспијећа од 5 година. У складу са поменутим роком доспијећа, новчани токови од главнице и камата се извјештавају до временског разреда "&gt; 4 г. ≤ 5 г.". Као што је поменуто, за паралелни шок раста, узимајући у обзир претпоставку банке, пријевремена отплата кредита би била приказана у временском разреду који је након доспијећа самог кредита те се новчани токови од главнице и камате приказују у сваком временском разреду до доспијећа. Са друге стране у сценарију пада каматних стопа (паралелни шок пада), новчани токови од главнице и камате се не приказују када се опција искористи. 
Коначни новчани токови у свом сценаријима се дисконтују одговарајућим дисконтним фактором, у зависности од сценарија и временског разреда (колона V, редови од 53 до 76).
Табела РЕЗУЛТАТИ приказује вриједности ЕВК, ∆ ЕВК, ∆ ЕВК - аутоматске опције (АО), АО и ∆ ЕВК* након повећања АО од 1,1 у складу са чланом 8. став (2) Упутства, гдје су ∆ ЕВК* и АО предмет извјештавања. Претходно поменути примјер је такође приказан у сврху попуњавања образаца J02.00 и J05.00 (Примјер 1). Додатно, у оба извјештајна обрасца износ приказан у колони 010 за потребе извјештавања укључује стање дуга минус очекиване кредитне губитке. Због поједностављења у овом примјеру тај износ је 500.
Принцип вредновања уграђених аутоматских опција приказан у овом примјеру такође се може користити за вредновање аутоматских опција уграђених у орочене депозите са могућношћу пријевременог повлачења.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</si>
</sst>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0.0"/>
    <numFmt numFmtId="167" formatCode="0.0000"/>
    <numFmt numFmtId="168" formatCode="#,##0.0"/>
  </numFmts>
  <fonts count="48" x14ac:knownFonts="1">
    <font>
      <sz val="11"/>
      <color theme="1"/>
      <name val="Aptos Narrow"/>
      <family val="2"/>
      <scheme val="minor"/>
    </font>
    <font>
      <sz val="11"/>
      <color theme="1"/>
      <name val="Aptos Narrow"/>
      <family val="2"/>
      <charset val="238"/>
      <scheme val="minor"/>
    </font>
    <font>
      <sz val="8"/>
      <color theme="1"/>
      <name val="Aptos Display"/>
      <family val="2"/>
      <scheme val="major"/>
    </font>
    <font>
      <sz val="9"/>
      <color theme="1"/>
      <name val="Aptos Display"/>
      <family val="2"/>
      <scheme val="major"/>
    </font>
    <font>
      <b/>
      <sz val="8"/>
      <color theme="0"/>
      <name val="Aptos Display"/>
      <family val="2"/>
      <scheme val="major"/>
    </font>
    <font>
      <u/>
      <sz val="8"/>
      <color theme="1"/>
      <name val="Aptos Display"/>
      <family val="2"/>
      <scheme val="major"/>
    </font>
    <font>
      <sz val="7"/>
      <color theme="1"/>
      <name val="Aptos Display"/>
      <family val="2"/>
      <scheme val="major"/>
    </font>
    <font>
      <b/>
      <u/>
      <sz val="7"/>
      <color theme="1"/>
      <name val="Aptos Display"/>
      <family val="2"/>
      <scheme val="major"/>
    </font>
    <font>
      <strike/>
      <sz val="7"/>
      <color theme="1"/>
      <name val="Aptos Display"/>
      <family val="2"/>
      <scheme val="major"/>
    </font>
    <font>
      <sz val="11"/>
      <color theme="1"/>
      <name val="Aptos Narrow"/>
      <family val="2"/>
      <scheme val="minor"/>
    </font>
    <font>
      <sz val="8"/>
      <name val="Aptos Display"/>
      <family val="2"/>
      <scheme val="major"/>
    </font>
    <font>
      <b/>
      <sz val="8"/>
      <color theme="1"/>
      <name val="Aptos Display"/>
      <family val="2"/>
      <scheme val="major"/>
    </font>
    <font>
      <i/>
      <sz val="8"/>
      <color theme="1"/>
      <name val="Aptos Display"/>
      <family val="2"/>
      <scheme val="major"/>
    </font>
    <font>
      <sz val="8"/>
      <color theme="0"/>
      <name val="Aptos Display"/>
      <family val="2"/>
      <scheme val="major"/>
    </font>
    <font>
      <b/>
      <sz val="11"/>
      <color theme="1"/>
      <name val="Aptos Display"/>
      <family val="2"/>
      <scheme val="major"/>
    </font>
    <font>
      <sz val="8"/>
      <color theme="1"/>
      <name val="Aptos Narrow"/>
      <family val="2"/>
      <scheme val="minor"/>
    </font>
    <font>
      <sz val="10"/>
      <name val="Arial"/>
      <family val="2"/>
    </font>
    <font>
      <b/>
      <sz val="12"/>
      <name val="Verdana"/>
      <family val="2"/>
    </font>
    <font>
      <sz val="8"/>
      <name val="Verdana"/>
      <family val="2"/>
    </font>
    <font>
      <b/>
      <u/>
      <sz val="8"/>
      <name val="Verdana"/>
      <family val="2"/>
    </font>
    <font>
      <b/>
      <sz val="10"/>
      <name val="Verdana"/>
      <family val="2"/>
    </font>
    <font>
      <sz val="11"/>
      <name val="Verdana"/>
      <family val="2"/>
    </font>
    <font>
      <b/>
      <sz val="8"/>
      <name val="Verdana"/>
      <family val="2"/>
    </font>
    <font>
      <sz val="10"/>
      <name val="Verdana"/>
      <family val="2"/>
    </font>
    <font>
      <sz val="10"/>
      <color rgb="FFFF0000"/>
      <name val="Verdana"/>
      <family val="2"/>
    </font>
    <font>
      <u/>
      <sz val="8"/>
      <name val="Verdana"/>
      <family val="2"/>
    </font>
    <font>
      <b/>
      <strike/>
      <sz val="10"/>
      <color rgb="FFFF0000"/>
      <name val="Verdana"/>
      <family val="2"/>
    </font>
    <font>
      <b/>
      <sz val="11"/>
      <color theme="1"/>
      <name val="Aptos Narrow"/>
      <family val="2"/>
      <scheme val="minor"/>
    </font>
    <font>
      <b/>
      <sz val="11"/>
      <color theme="0"/>
      <name val="Aptos Narrow"/>
      <family val="2"/>
      <scheme val="minor"/>
    </font>
    <font>
      <sz val="7"/>
      <color theme="0"/>
      <name val="Aptos Display"/>
      <family val="2"/>
      <scheme val="major"/>
    </font>
    <font>
      <i/>
      <sz val="7"/>
      <color theme="0"/>
      <name val="Aptos Display"/>
      <family val="2"/>
      <scheme val="major"/>
    </font>
    <font>
      <i/>
      <sz val="8"/>
      <color theme="0"/>
      <name val="Aptos Display"/>
      <family val="2"/>
      <scheme val="major"/>
    </font>
    <font>
      <b/>
      <sz val="10"/>
      <name val="Verdana"/>
      <family val="2"/>
      <charset val="204"/>
    </font>
    <font>
      <sz val="10"/>
      <name val="Verdana"/>
      <family val="2"/>
      <charset val="204"/>
    </font>
    <font>
      <b/>
      <i/>
      <sz val="8"/>
      <name val="Aptos Display"/>
      <family val="2"/>
      <scheme val="major"/>
    </font>
    <font>
      <b/>
      <sz val="8"/>
      <name val="Aptos Display"/>
      <family val="2"/>
      <scheme val="major"/>
    </font>
    <font>
      <b/>
      <sz val="9"/>
      <color theme="0"/>
      <name val="Aptos Display"/>
      <family val="2"/>
      <scheme val="major"/>
    </font>
    <font>
      <b/>
      <i/>
      <sz val="8"/>
      <color theme="0"/>
      <name val="Aptos Display"/>
      <family val="2"/>
      <scheme val="major"/>
    </font>
    <font>
      <u/>
      <sz val="9"/>
      <color theme="1"/>
      <name val="Aptos Display"/>
      <family val="2"/>
      <scheme val="major"/>
    </font>
    <font>
      <sz val="10"/>
      <color theme="1"/>
      <name val="Aptos Narrow"/>
      <family val="2"/>
      <scheme val="minor"/>
    </font>
    <font>
      <sz val="7"/>
      <name val="Aptos Display"/>
      <family val="2"/>
      <scheme val="major"/>
    </font>
    <font>
      <b/>
      <sz val="11"/>
      <name val="Aptos Narrow"/>
      <family val="2"/>
      <scheme val="minor"/>
    </font>
    <font>
      <sz val="11"/>
      <name val="Aptos Narrow"/>
      <family val="2"/>
      <scheme val="minor"/>
    </font>
    <font>
      <i/>
      <sz val="10"/>
      <color theme="1"/>
      <name val="Aptos Narrow"/>
      <family val="2"/>
      <scheme val="minor"/>
    </font>
    <font>
      <b/>
      <sz val="8"/>
      <color rgb="FFFF0000"/>
      <name val="Aptos Display"/>
      <family val="2"/>
      <scheme val="major"/>
    </font>
    <font>
      <sz val="8"/>
      <color rgb="FFFF0000"/>
      <name val="Aptos Display"/>
      <family val="2"/>
      <scheme val="major"/>
    </font>
    <font>
      <b/>
      <sz val="15"/>
      <color rgb="FFFF0000"/>
      <name val="Aptos Display"/>
      <family val="2"/>
      <scheme val="major"/>
    </font>
    <font>
      <i/>
      <sz val="9"/>
      <color theme="1"/>
      <name val="Aptos Display"/>
      <family val="2"/>
      <scheme val="major"/>
    </font>
  </fonts>
  <fills count="20">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8D8D8"/>
        <bgColor indexed="64"/>
      </patternFill>
    </fill>
    <fill>
      <patternFill patternType="solid">
        <fgColor theme="5" tint="0.59999389629810485"/>
        <bgColor indexed="64"/>
      </patternFill>
    </fill>
    <fill>
      <patternFill patternType="solid">
        <fgColor rgb="FFB55349"/>
        <bgColor indexed="64"/>
      </patternFill>
    </fill>
    <fill>
      <patternFill patternType="solid">
        <fgColor rgb="FFE0B6B2"/>
        <bgColor indexed="64"/>
      </patternFill>
    </fill>
    <fill>
      <patternFill patternType="solid">
        <fgColor rgb="FFD49A94"/>
        <bgColor indexed="64"/>
      </patternFill>
    </fill>
    <fill>
      <patternFill patternType="solid">
        <fgColor rgb="FFFFFFD9"/>
        <bgColor indexed="64"/>
      </patternFill>
    </fill>
    <fill>
      <patternFill patternType="solid">
        <fgColor theme="9" tint="0.59999389629810485"/>
        <bgColor indexed="64"/>
      </patternFill>
    </fill>
    <fill>
      <patternFill patternType="solid">
        <fgColor theme="0"/>
        <bgColor indexed="64"/>
      </patternFill>
    </fill>
    <fill>
      <patternFill patternType="solid">
        <fgColor rgb="FFFFDDDD"/>
        <bgColor indexed="64"/>
      </patternFill>
    </fill>
    <fill>
      <patternFill patternType="solid">
        <fgColor rgb="FFEFF9EB"/>
        <bgColor indexed="64"/>
      </patternFill>
    </fill>
    <fill>
      <patternFill patternType="solid">
        <fgColor rgb="FFD7EEF9"/>
        <bgColor indexed="64"/>
      </patternFill>
    </fill>
    <fill>
      <patternFill patternType="solid">
        <fgColor rgb="FFD8F2CE"/>
        <bgColor indexed="64"/>
      </patternFill>
    </fill>
    <fill>
      <patternFill patternType="solid">
        <fgColor theme="4" tint="0.39997558519241921"/>
        <bgColor indexed="64"/>
      </patternFill>
    </fill>
  </fills>
  <borders count="161">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bottom style="thin">
        <color theme="4"/>
      </bottom>
      <diagonal/>
    </border>
    <border>
      <left style="thin">
        <color theme="4"/>
      </left>
      <right/>
      <top/>
      <bottom style="thin">
        <color indexed="64"/>
      </bottom>
      <diagonal/>
    </border>
    <border>
      <left/>
      <right/>
      <top/>
      <bottom style="thin">
        <color indexed="64"/>
      </bottom>
      <diagonal/>
    </border>
    <border>
      <left/>
      <right style="thin">
        <color theme="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dashed">
        <color theme="0" tint="-0.14996795556505021"/>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theme="0" tint="-0.14996795556505021"/>
      </right>
      <top style="thin">
        <color indexed="64"/>
      </top>
      <bottom style="thin">
        <color indexed="64"/>
      </bottom>
      <diagonal/>
    </border>
    <border>
      <left style="dashed">
        <color theme="0" tint="-0.14996795556505021"/>
      </left>
      <right style="dashed">
        <color theme="0" tint="-0.14996795556505021"/>
      </right>
      <top style="thin">
        <color indexed="64"/>
      </top>
      <bottom style="thin">
        <color indexed="64"/>
      </bottom>
      <diagonal/>
    </border>
    <border>
      <left/>
      <right style="dashed">
        <color theme="0" tint="-0.14996795556505021"/>
      </right>
      <top style="dashed">
        <color theme="0" tint="-0.14996795556505021"/>
      </top>
      <bottom style="dashed">
        <color theme="0" tint="-0.14996795556505021"/>
      </bottom>
      <diagonal/>
    </border>
    <border>
      <left style="dashed">
        <color theme="0" tint="-0.14996795556505021"/>
      </left>
      <right style="dashed">
        <color theme="0" tint="-0.14996795556505021"/>
      </right>
      <top style="dashed">
        <color theme="0" tint="-0.14996795556505021"/>
      </top>
      <bottom style="dashed">
        <color theme="0" tint="-0.14996795556505021"/>
      </bottom>
      <diagonal/>
    </border>
    <border>
      <left style="dashed">
        <color theme="0" tint="-0.14996795556505021"/>
      </left>
      <right style="medium">
        <color indexed="64"/>
      </right>
      <top style="dashed">
        <color theme="0" tint="-0.14996795556505021"/>
      </top>
      <bottom style="dashed">
        <color theme="0" tint="-0.14996795556505021"/>
      </bottom>
      <diagonal/>
    </border>
    <border>
      <left/>
      <right style="dashed">
        <color theme="0" tint="-0.14996795556505021"/>
      </right>
      <top/>
      <bottom style="dashed">
        <color theme="0" tint="-0.14996795556505021"/>
      </bottom>
      <diagonal/>
    </border>
    <border>
      <left style="dashed">
        <color theme="0" tint="-0.14996795556505021"/>
      </left>
      <right style="dashed">
        <color theme="0" tint="-0.14996795556505021"/>
      </right>
      <top/>
      <bottom style="dashed">
        <color theme="0" tint="-0.14996795556505021"/>
      </bottom>
      <diagonal/>
    </border>
    <border>
      <left/>
      <right style="dashed">
        <color theme="0" tint="-0.14996795556505021"/>
      </right>
      <top style="dashed">
        <color theme="0" tint="-0.14996795556505021"/>
      </top>
      <bottom/>
      <diagonal/>
    </border>
    <border>
      <left style="dashed">
        <color theme="0" tint="-0.14996795556505021"/>
      </left>
      <right style="dashed">
        <color theme="0" tint="-0.14996795556505021"/>
      </right>
      <top style="dashed">
        <color theme="0" tint="-0.14996795556505021"/>
      </top>
      <bottom/>
      <diagonal/>
    </border>
    <border>
      <left style="dashed">
        <color theme="0" tint="-0.14996795556505021"/>
      </left>
      <right style="medium">
        <color indexed="64"/>
      </right>
      <top style="dashed">
        <color theme="0" tint="-0.14996795556505021"/>
      </top>
      <bottom/>
      <diagonal/>
    </border>
    <border>
      <left style="dashed">
        <color theme="0" tint="-0.14996795556505021"/>
      </left>
      <right style="dashed">
        <color theme="0" tint="-0.14996795556505021"/>
      </right>
      <top style="thin">
        <color indexed="64"/>
      </top>
      <bottom style="dashed">
        <color theme="0" tint="-0.14996795556505021"/>
      </bottom>
      <diagonal/>
    </border>
    <border>
      <left style="dashed">
        <color theme="0" tint="-0.14996795556505021"/>
      </left>
      <right style="medium">
        <color indexed="64"/>
      </right>
      <top style="thin">
        <color indexed="64"/>
      </top>
      <bottom style="dashed">
        <color theme="0" tint="-0.14996795556505021"/>
      </bottom>
      <diagonal/>
    </border>
    <border>
      <left style="dashed">
        <color theme="0" tint="-0.14996795556505021"/>
      </left>
      <right style="medium">
        <color indexed="64"/>
      </right>
      <top/>
      <bottom style="dashed">
        <color theme="0" tint="-0.14996795556505021"/>
      </bottom>
      <diagonal/>
    </border>
    <border>
      <left/>
      <right style="dashed">
        <color theme="0" tint="-0.14996795556505021"/>
      </right>
      <top style="dashed">
        <color theme="0" tint="-0.14996795556505021"/>
      </top>
      <bottom style="dashed">
        <color theme="0" tint="-0.14993743705557422"/>
      </bottom>
      <diagonal/>
    </border>
    <border>
      <left style="dashed">
        <color theme="0" tint="-0.14996795556505021"/>
      </left>
      <right style="dashed">
        <color theme="0" tint="-0.14996795556505021"/>
      </right>
      <top style="dashed">
        <color theme="0" tint="-0.14996795556505021"/>
      </top>
      <bottom style="dashed">
        <color theme="0" tint="-0.14993743705557422"/>
      </bottom>
      <diagonal/>
    </border>
    <border>
      <left style="dashed">
        <color theme="0" tint="-0.14996795556505021"/>
      </left>
      <right style="medium">
        <color indexed="64"/>
      </right>
      <top style="dashed">
        <color theme="0" tint="-0.14996795556505021"/>
      </top>
      <bottom style="dashed">
        <color theme="0" tint="-0.14993743705557422"/>
      </bottom>
      <diagonal/>
    </border>
    <border>
      <left/>
      <right style="dashed">
        <color theme="0" tint="-0.14996795556505021"/>
      </right>
      <top style="dashed">
        <color theme="0" tint="-0.14993743705557422"/>
      </top>
      <bottom style="dashed">
        <color theme="0" tint="-0.14993743705557422"/>
      </bottom>
      <diagonal/>
    </border>
    <border>
      <left style="dashed">
        <color theme="0" tint="-0.14996795556505021"/>
      </left>
      <right style="dashed">
        <color theme="0" tint="-0.14996795556505021"/>
      </right>
      <top style="dashed">
        <color theme="0" tint="-0.14993743705557422"/>
      </top>
      <bottom style="dashed">
        <color theme="0" tint="-0.14993743705557422"/>
      </bottom>
      <diagonal/>
    </border>
    <border>
      <left style="dashed">
        <color theme="0" tint="-0.14996795556505021"/>
      </left>
      <right style="medium">
        <color indexed="64"/>
      </right>
      <top style="dashed">
        <color theme="0" tint="-0.14993743705557422"/>
      </top>
      <bottom style="dashed">
        <color theme="0" tint="-0.14993743705557422"/>
      </bottom>
      <diagonal/>
    </border>
    <border>
      <left/>
      <right style="dashed">
        <color theme="0" tint="-0.14996795556505021"/>
      </right>
      <top style="dashed">
        <color theme="0" tint="-0.14993743705557422"/>
      </top>
      <bottom style="thin">
        <color indexed="64"/>
      </bottom>
      <diagonal/>
    </border>
    <border>
      <left style="dashed">
        <color theme="0" tint="-0.14996795556505021"/>
      </left>
      <right style="dashed">
        <color theme="0" tint="-0.14996795556505021"/>
      </right>
      <top style="dashed">
        <color theme="0" tint="-0.14993743705557422"/>
      </top>
      <bottom style="thin">
        <color indexed="64"/>
      </bottom>
      <diagonal/>
    </border>
    <border>
      <left style="dashed">
        <color theme="0" tint="-0.14996795556505021"/>
      </left>
      <right style="medium">
        <color indexed="64"/>
      </right>
      <top style="dashed">
        <color theme="0" tint="-0.14993743705557422"/>
      </top>
      <bottom style="thin">
        <color indexed="64"/>
      </bottom>
      <diagonal/>
    </border>
    <border>
      <left style="medium">
        <color indexed="64"/>
      </left>
      <right style="thin">
        <color indexed="64"/>
      </right>
      <top style="thin">
        <color indexed="64"/>
      </top>
      <bottom style="medium">
        <color indexed="64"/>
      </bottom>
      <diagonal/>
    </border>
    <border>
      <left/>
      <right style="dashed">
        <color theme="0" tint="-0.14996795556505021"/>
      </right>
      <top style="dashed">
        <color theme="0" tint="-0.14996795556505021"/>
      </top>
      <bottom style="medium">
        <color indexed="64"/>
      </bottom>
      <diagonal/>
    </border>
    <border>
      <left style="dashed">
        <color theme="0" tint="-0.14996795556505021"/>
      </left>
      <right style="dashed">
        <color theme="0" tint="-0.14996795556505021"/>
      </right>
      <top style="dashed">
        <color theme="0" tint="-0.14996795556505021"/>
      </top>
      <bottom style="medium">
        <color indexed="64"/>
      </bottom>
      <diagonal/>
    </border>
    <border>
      <left style="dashed">
        <color theme="0" tint="-0.14996795556505021"/>
      </left>
      <right style="medium">
        <color indexed="64"/>
      </right>
      <top style="dashed">
        <color theme="0" tint="-0.14996795556505021"/>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ashed">
        <color theme="0" tint="-0.14996795556505021"/>
      </left>
      <right/>
      <top style="thin">
        <color indexed="64"/>
      </top>
      <bottom style="thin">
        <color indexed="64"/>
      </bottom>
      <diagonal/>
    </border>
    <border>
      <left style="dashed">
        <color theme="0" tint="-0.14996795556505021"/>
      </left>
      <right/>
      <top style="thin">
        <color indexed="64"/>
      </top>
      <bottom style="dashed">
        <color theme="0" tint="-0.14996795556505021"/>
      </bottom>
      <diagonal/>
    </border>
    <border>
      <left style="dashed">
        <color theme="0" tint="-0.14996795556505021"/>
      </left>
      <right/>
      <top/>
      <bottom style="dashed">
        <color theme="0" tint="-0.14996795556505021"/>
      </bottom>
      <diagonal/>
    </border>
    <border>
      <left style="dashed">
        <color theme="0" tint="-0.14996795556505021"/>
      </left>
      <right/>
      <top style="dashed">
        <color theme="0" tint="-0.14996795556505021"/>
      </top>
      <bottom style="dashed">
        <color theme="0" tint="-0.14996795556505021"/>
      </bottom>
      <diagonal/>
    </border>
    <border>
      <left style="dashed">
        <color theme="0" tint="-0.14996795556505021"/>
      </left>
      <right/>
      <top style="dashed">
        <color theme="0" tint="-0.14996795556505021"/>
      </top>
      <bottom/>
      <diagonal/>
    </border>
    <border>
      <left style="dashed">
        <color theme="0" tint="-0.14996795556505021"/>
      </left>
      <right/>
      <top style="dashed">
        <color theme="0" tint="-0.14996795556505021"/>
      </top>
      <bottom style="medium">
        <color indexed="64"/>
      </bottom>
      <diagonal/>
    </border>
    <border>
      <left/>
      <right/>
      <top style="thin">
        <color indexed="64"/>
      </top>
      <bottom/>
      <diagonal/>
    </border>
    <border>
      <left style="thin">
        <color theme="4"/>
      </left>
      <right/>
      <top style="thin">
        <color indexed="64"/>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0.499984740745262"/>
      </right>
      <top/>
      <bottom/>
      <diagonal/>
    </border>
    <border>
      <left style="thin">
        <color theme="2" tint="-0.499984740745262"/>
      </left>
      <right/>
      <top/>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right/>
      <top style="thin">
        <color theme="2" tint="-0.499984740745262"/>
      </top>
      <bottom/>
      <diagonal/>
    </border>
    <border>
      <left/>
      <right style="thin">
        <color theme="2" tint="-0.499984740745262"/>
      </right>
      <top style="thin">
        <color theme="2" tint="-0.499984740745262"/>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ashed">
        <color theme="0" tint="-0.14996795556505021"/>
      </right>
      <top style="thin">
        <color indexed="64"/>
      </top>
      <bottom style="dashed">
        <color theme="0" tint="-0.14996795556505021"/>
      </bottom>
      <diagonal/>
    </border>
    <border>
      <left style="medium">
        <color indexed="64"/>
      </left>
      <right style="dashed">
        <color theme="0" tint="-0.14996795556505021"/>
      </right>
      <top style="thin">
        <color indexed="64"/>
      </top>
      <bottom style="thin">
        <color indexed="64"/>
      </bottom>
      <diagonal/>
    </border>
    <border>
      <left style="medium">
        <color indexed="64"/>
      </left>
      <right style="dashed">
        <color theme="0" tint="-0.14996795556505021"/>
      </right>
      <top style="dashed">
        <color theme="0" tint="-0.14996795556505021"/>
      </top>
      <bottom style="dashed">
        <color theme="0" tint="-0.14996795556505021"/>
      </bottom>
      <diagonal/>
    </border>
    <border>
      <left style="medium">
        <color indexed="64"/>
      </left>
      <right style="dashed">
        <color theme="0" tint="-0.14996795556505021"/>
      </right>
      <top/>
      <bottom style="dashed">
        <color theme="0" tint="-0.14996795556505021"/>
      </bottom>
      <diagonal/>
    </border>
    <border>
      <left style="medium">
        <color indexed="64"/>
      </left>
      <right style="dashed">
        <color theme="0" tint="-0.14996795556505021"/>
      </right>
      <top style="dashed">
        <color theme="0" tint="-0.14996795556505021"/>
      </top>
      <bottom/>
      <diagonal/>
    </border>
    <border>
      <left style="medium">
        <color indexed="64"/>
      </left>
      <right style="dashed">
        <color theme="0" tint="-0.14996795556505021"/>
      </right>
      <top style="thin">
        <color indexed="64"/>
      </top>
      <bottom style="dashed">
        <color theme="0" tint="-0.14996795556505021"/>
      </bottom>
      <diagonal/>
    </border>
    <border>
      <left style="medium">
        <color indexed="64"/>
      </left>
      <right style="dashed">
        <color theme="0" tint="-0.14996795556505021"/>
      </right>
      <top style="dashed">
        <color theme="0" tint="-0.14996795556505021"/>
      </top>
      <bottom style="dashed">
        <color theme="0" tint="-0.14993743705557422"/>
      </bottom>
      <diagonal/>
    </border>
    <border>
      <left style="medium">
        <color indexed="64"/>
      </left>
      <right style="dashed">
        <color theme="0" tint="-0.14996795556505021"/>
      </right>
      <top style="dashed">
        <color theme="0" tint="-0.14993743705557422"/>
      </top>
      <bottom style="dashed">
        <color theme="0" tint="-0.14993743705557422"/>
      </bottom>
      <diagonal/>
    </border>
    <border>
      <left style="medium">
        <color indexed="64"/>
      </left>
      <right style="dashed">
        <color theme="0" tint="-0.14996795556505021"/>
      </right>
      <top style="dashed">
        <color theme="0" tint="-0.14993743705557422"/>
      </top>
      <bottom style="medium">
        <color indexed="64"/>
      </bottom>
      <diagonal/>
    </border>
    <border>
      <left style="dashed">
        <color theme="0" tint="-0.14996795556505021"/>
      </left>
      <right style="medium">
        <color indexed="64"/>
      </right>
      <top style="dashed">
        <color theme="0" tint="-0.14993743705557422"/>
      </top>
      <bottom style="medium">
        <color indexed="64"/>
      </bottom>
      <diagonal/>
    </border>
    <border>
      <left style="dashed">
        <color theme="0" tint="-0.14996795556505021"/>
      </left>
      <right style="dashed">
        <color theme="0" tint="-0.14996795556505021"/>
      </right>
      <top style="dashed">
        <color theme="0" tint="-0.14993743705557422"/>
      </top>
      <bottom style="medium">
        <color indexed="64"/>
      </bottom>
      <diagonal/>
    </border>
    <border>
      <left style="medium">
        <color indexed="64"/>
      </left>
      <right style="dashed">
        <color theme="0" tint="-0.14996795556505021"/>
      </right>
      <top style="medium">
        <color indexed="64"/>
      </top>
      <bottom style="dashed">
        <color theme="0" tint="-0.14993743705557422"/>
      </bottom>
      <diagonal/>
    </border>
    <border>
      <left style="dashed">
        <color theme="0" tint="-0.14996795556505021"/>
      </left>
      <right style="dashed">
        <color theme="0" tint="-0.14996795556505021"/>
      </right>
      <top style="medium">
        <color indexed="64"/>
      </top>
      <bottom style="dashed">
        <color theme="0" tint="-0.14993743705557422"/>
      </bottom>
      <diagonal/>
    </border>
    <border>
      <left style="dashed">
        <color theme="0" tint="-0.14996795556505021"/>
      </left>
      <right style="medium">
        <color indexed="64"/>
      </right>
      <top style="medium">
        <color indexed="64"/>
      </top>
      <bottom style="dashed">
        <color theme="0" tint="-0.14993743705557422"/>
      </bottom>
      <diagonal/>
    </border>
    <border>
      <left/>
      <right style="dashed">
        <color theme="0" tint="-0.14996795556505021"/>
      </right>
      <top style="medium">
        <color indexed="64"/>
      </top>
      <bottom style="dashed">
        <color theme="0" tint="-0.14993743705557422"/>
      </bottom>
      <diagonal/>
    </border>
    <border>
      <left/>
      <right style="medium">
        <color indexed="64"/>
      </right>
      <top style="dashed">
        <color theme="0" tint="-0.14996795556505021"/>
      </top>
      <bottom style="dashed">
        <color theme="0" tint="-0.14993743705557422"/>
      </bottom>
      <diagonal/>
    </border>
    <border>
      <left/>
      <right style="medium">
        <color indexed="64"/>
      </right>
      <top style="dashed">
        <color theme="0" tint="-0.14996795556505021"/>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dashed">
        <color theme="0" tint="-0.14996795556505021"/>
      </right>
      <top style="dashed">
        <color theme="0" tint="-0.14996795556505021"/>
      </top>
      <bottom style="medium">
        <color indexed="64"/>
      </bottom>
      <diagonal/>
    </border>
    <border>
      <left style="medium">
        <color indexed="64"/>
      </left>
      <right style="dashed">
        <color theme="0" tint="-0.14996795556505021"/>
      </right>
      <top style="medium">
        <color indexed="64"/>
      </top>
      <bottom style="dashed">
        <color theme="0" tint="-0.14996795556505021"/>
      </bottom>
      <diagonal/>
    </border>
    <border>
      <left style="dashed">
        <color theme="0" tint="-0.14996795556505021"/>
      </left>
      <right style="dashed">
        <color theme="0" tint="-0.14996795556505021"/>
      </right>
      <top style="medium">
        <color indexed="64"/>
      </top>
      <bottom style="dashed">
        <color theme="0" tint="-0.14996795556505021"/>
      </bottom>
      <diagonal/>
    </border>
    <border>
      <left style="dashed">
        <color theme="0" tint="-0.14996795556505021"/>
      </left>
      <right style="medium">
        <color indexed="64"/>
      </right>
      <top style="medium">
        <color indexed="64"/>
      </top>
      <bottom style="dashed">
        <color theme="0" tint="-0.14996795556505021"/>
      </bottom>
      <diagonal/>
    </border>
    <border>
      <left style="medium">
        <color indexed="64"/>
      </left>
      <right style="dashed">
        <color theme="0" tint="-0.14996795556505021"/>
      </right>
      <top/>
      <bottom style="thin">
        <color indexed="64"/>
      </bottom>
      <diagonal/>
    </border>
    <border>
      <left style="dashed">
        <color theme="0" tint="-0.14996795556505021"/>
      </left>
      <right style="dashed">
        <color theme="0" tint="-0.14996795556505021"/>
      </right>
      <top/>
      <bottom style="thin">
        <color indexed="64"/>
      </bottom>
      <diagonal/>
    </border>
    <border>
      <left style="dashed">
        <color theme="0" tint="-0.14996795556505021"/>
      </left>
      <right style="medium">
        <color indexed="64"/>
      </right>
      <top/>
      <bottom style="thin">
        <color indexed="64"/>
      </bottom>
      <diagonal/>
    </border>
    <border>
      <left/>
      <right style="dashed">
        <color theme="0" tint="-0.14996795556505021"/>
      </right>
      <top/>
      <bottom style="thin">
        <color indexed="64"/>
      </bottom>
      <diagonal/>
    </border>
    <border>
      <left style="dashed">
        <color theme="0" tint="-0.14996795556505021"/>
      </left>
      <right/>
      <top/>
      <bottom style="thin">
        <color indexed="64"/>
      </bottom>
      <diagonal/>
    </border>
    <border>
      <left style="thin">
        <color theme="4"/>
      </left>
      <right style="thin">
        <color theme="2" tint="-0.499984740745262"/>
      </right>
      <top style="thin">
        <color theme="4"/>
      </top>
      <bottom style="thin">
        <color theme="4"/>
      </bottom>
      <diagonal/>
    </border>
    <border>
      <left/>
      <right style="thin">
        <color theme="4"/>
      </right>
      <top/>
      <bottom style="thin">
        <color theme="2" tint="-0.499984740745262"/>
      </bottom>
      <diagonal/>
    </border>
    <border>
      <left/>
      <right/>
      <top style="thin">
        <color indexed="64"/>
      </top>
      <bottom style="thin">
        <color theme="2" tint="-0.499984740745262"/>
      </bottom>
      <diagonal/>
    </border>
    <border>
      <left/>
      <right style="thin">
        <color theme="2" tint="-0.499984740745262"/>
      </right>
      <top style="thin">
        <color indexed="64"/>
      </top>
      <bottom style="thin">
        <color theme="2" tint="-0.499984740745262"/>
      </bottom>
      <diagonal/>
    </border>
    <border>
      <left style="thin">
        <color theme="2" tint="-0.499984740745262"/>
      </left>
      <right style="thin">
        <color theme="2" tint="-0.499984740745262"/>
      </right>
      <top style="thin">
        <color theme="1"/>
      </top>
      <bottom style="thin">
        <color theme="2" tint="-0.499984740745262"/>
      </bottom>
      <diagonal/>
    </border>
  </borders>
  <cellStyleXfs count="8">
    <xf numFmtId="0" fontId="0" fillId="0" borderId="0"/>
    <xf numFmtId="164" fontId="9" fillId="0" borderId="0" applyFont="0" applyFill="0" applyBorder="0" applyAlignment="0" applyProtection="0"/>
    <xf numFmtId="0" fontId="1" fillId="0" borderId="0"/>
    <xf numFmtId="0" fontId="16" fillId="0" borderId="0"/>
    <xf numFmtId="0" fontId="16" fillId="0" borderId="0"/>
    <xf numFmtId="0" fontId="9" fillId="0" borderId="0"/>
    <xf numFmtId="9" fontId="1" fillId="0" borderId="0" applyFont="0" applyFill="0" applyBorder="0" applyAlignment="0" applyProtection="0"/>
    <xf numFmtId="43" fontId="9" fillId="0" borderId="0" applyFont="0" applyFill="0" applyBorder="0" applyAlignment="0" applyProtection="0"/>
  </cellStyleXfs>
  <cellXfs count="685">
    <xf numFmtId="0" fontId="0" fillId="0" borderId="0" xfId="0"/>
    <xf numFmtId="0" fontId="2" fillId="0" borderId="0" xfId="0" applyFont="1" applyAlignment="1">
      <alignment horizontal="right" vertical="center"/>
    </xf>
    <xf numFmtId="0" fontId="3" fillId="0" borderId="0" xfId="0" applyFont="1" applyAlignment="1">
      <alignment horizontal="right" vertical="center"/>
    </xf>
    <xf numFmtId="0" fontId="6" fillId="0" borderId="0" xfId="0" applyFont="1" applyAlignment="1">
      <alignment horizontal="right" vertical="center"/>
    </xf>
    <xf numFmtId="0" fontId="6" fillId="2" borderId="3" xfId="0" applyFont="1" applyFill="1" applyBorder="1" applyAlignment="1">
      <alignment horizontal="center" vertical="center"/>
    </xf>
    <xf numFmtId="0" fontId="6" fillId="2" borderId="12" xfId="0" applyFont="1" applyFill="1" applyBorder="1" applyAlignment="1">
      <alignment horizontal="center" vertical="center"/>
    </xf>
    <xf numFmtId="0" fontId="2" fillId="0" borderId="0" xfId="0" applyFont="1"/>
    <xf numFmtId="0" fontId="10" fillId="2" borderId="11" xfId="0" applyFont="1" applyFill="1" applyBorder="1" applyAlignment="1">
      <alignment vertical="center"/>
    </xf>
    <xf numFmtId="0" fontId="10" fillId="2" borderId="8" xfId="0" applyFont="1" applyFill="1" applyBorder="1" applyAlignment="1">
      <alignment vertical="center"/>
    </xf>
    <xf numFmtId="0" fontId="11" fillId="0" borderId="0" xfId="0" applyFont="1" applyAlignment="1">
      <alignment horizontal="center" vertical="center" wrapText="1"/>
    </xf>
    <xf numFmtId="164" fontId="10" fillId="2" borderId="9" xfId="0" applyNumberFormat="1" applyFont="1" applyFill="1" applyBorder="1" applyAlignment="1">
      <alignment vertical="center"/>
    </xf>
    <xf numFmtId="164" fontId="10" fillId="2" borderId="0" xfId="0" applyNumberFormat="1" applyFont="1" applyFill="1" applyAlignment="1">
      <alignment vertical="center"/>
    </xf>
    <xf numFmtId="164" fontId="10" fillId="2" borderId="12" xfId="0" applyNumberFormat="1" applyFont="1" applyFill="1" applyBorder="1" applyAlignment="1">
      <alignment vertical="center"/>
    </xf>
    <xf numFmtId="164" fontId="2" fillId="0" borderId="0" xfId="0" applyNumberFormat="1" applyFont="1" applyAlignment="1">
      <alignment vertical="center"/>
    </xf>
    <xf numFmtId="164" fontId="2" fillId="2" borderId="4" xfId="0" applyNumberFormat="1" applyFont="1" applyFill="1" applyBorder="1" applyAlignment="1">
      <alignment vertical="center"/>
    </xf>
    <xf numFmtId="165" fontId="2" fillId="2" borderId="13" xfId="0" applyNumberFormat="1" applyFont="1" applyFill="1" applyBorder="1" applyAlignment="1">
      <alignment vertical="center"/>
    </xf>
    <xf numFmtId="165" fontId="2" fillId="2" borderId="12" xfId="0" applyNumberFormat="1" applyFont="1" applyFill="1" applyBorder="1" applyAlignment="1">
      <alignment vertical="center"/>
    </xf>
    <xf numFmtId="164" fontId="2" fillId="2" borderId="11" xfId="1" applyFont="1" applyFill="1" applyBorder="1" applyAlignment="1">
      <alignment vertical="center"/>
    </xf>
    <xf numFmtId="165" fontId="2" fillId="2" borderId="9" xfId="0" applyNumberFormat="1" applyFont="1" applyFill="1" applyBorder="1" applyAlignment="1">
      <alignment vertical="center"/>
    </xf>
    <xf numFmtId="165" fontId="2" fillId="2" borderId="0" xfId="0" applyNumberFormat="1" applyFont="1" applyFill="1" applyAlignment="1">
      <alignment vertical="center"/>
    </xf>
    <xf numFmtId="164" fontId="2" fillId="2" borderId="8" xfId="1" applyFont="1" applyFill="1" applyBorder="1" applyAlignment="1">
      <alignment vertical="center"/>
    </xf>
    <xf numFmtId="165" fontId="13" fillId="0" borderId="0" xfId="0" applyNumberFormat="1" applyFont="1" applyAlignment="1">
      <alignment horizontal="right" vertical="center"/>
    </xf>
    <xf numFmtId="3" fontId="2" fillId="0" borderId="17" xfId="1" applyNumberFormat="1" applyFont="1" applyFill="1" applyBorder="1" applyAlignment="1">
      <alignment vertical="center"/>
    </xf>
    <xf numFmtId="3" fontId="2" fillId="0" borderId="11" xfId="1" applyNumberFormat="1" applyFont="1" applyFill="1" applyBorder="1" applyAlignment="1">
      <alignment vertical="center"/>
    </xf>
    <xf numFmtId="0" fontId="13" fillId="0" borderId="0" xfId="0" applyFont="1" applyAlignment="1">
      <alignment horizontal="right" vertical="center"/>
    </xf>
    <xf numFmtId="3" fontId="2" fillId="0" borderId="10" xfId="1" applyNumberFormat="1" applyFont="1" applyFill="1" applyBorder="1" applyAlignment="1">
      <alignment vertical="center"/>
    </xf>
    <xf numFmtId="3" fontId="2" fillId="0" borderId="8" xfId="1" applyNumberFormat="1" applyFont="1" applyFill="1" applyBorder="1" applyAlignment="1">
      <alignment vertical="center"/>
    </xf>
    <xf numFmtId="3" fontId="2" fillId="0" borderId="1" xfId="0" applyNumberFormat="1" applyFont="1" applyBorder="1" applyAlignment="1">
      <alignment vertical="center"/>
    </xf>
    <xf numFmtId="3" fontId="2" fillId="0" borderId="4" xfId="0" applyNumberFormat="1" applyFont="1" applyBorder="1" applyAlignment="1">
      <alignment vertical="center"/>
    </xf>
    <xf numFmtId="3" fontId="2" fillId="0" borderId="0" xfId="1" applyNumberFormat="1" applyFont="1" applyFill="1" applyBorder="1" applyAlignment="1">
      <alignment vertical="center"/>
    </xf>
    <xf numFmtId="0" fontId="2" fillId="0" borderId="0" xfId="0" applyFont="1" applyAlignment="1">
      <alignment vertical="center"/>
    </xf>
    <xf numFmtId="3" fontId="2" fillId="2" borderId="13" xfId="1" applyNumberFormat="1" applyFont="1" applyFill="1" applyBorder="1" applyAlignment="1">
      <alignment vertical="center"/>
    </xf>
    <xf numFmtId="3" fontId="2" fillId="2" borderId="9" xfId="1" applyNumberFormat="1" applyFont="1" applyFill="1" applyBorder="1" applyAlignment="1">
      <alignment vertical="center"/>
    </xf>
    <xf numFmtId="165" fontId="2" fillId="2" borderId="1" xfId="0" applyNumberFormat="1" applyFont="1" applyFill="1" applyBorder="1" applyAlignment="1">
      <alignment vertical="center"/>
    </xf>
    <xf numFmtId="3" fontId="2" fillId="2" borderId="4" xfId="0" applyNumberFormat="1" applyFont="1" applyFill="1" applyBorder="1" applyAlignment="1">
      <alignment vertical="center"/>
    </xf>
    <xf numFmtId="3" fontId="2" fillId="2" borderId="5" xfId="0" applyNumberFormat="1" applyFont="1" applyFill="1" applyBorder="1" applyAlignment="1">
      <alignment vertical="center"/>
    </xf>
    <xf numFmtId="164" fontId="2" fillId="2" borderId="17" xfId="1" applyFont="1" applyFill="1" applyBorder="1" applyAlignment="1">
      <alignment vertical="center"/>
    </xf>
    <xf numFmtId="164" fontId="2" fillId="2" borderId="10" xfId="1" applyFont="1" applyFill="1" applyBorder="1" applyAlignment="1">
      <alignment vertical="center"/>
    </xf>
    <xf numFmtId="164" fontId="2" fillId="2" borderId="1" xfId="0" applyNumberFormat="1" applyFont="1" applyFill="1" applyBorder="1" applyAlignment="1">
      <alignment vertical="center"/>
    </xf>
    <xf numFmtId="0" fontId="0" fillId="0" borderId="13" xfId="0" applyBorder="1" applyAlignment="1">
      <alignment vertical="center"/>
    </xf>
    <xf numFmtId="0" fontId="0" fillId="0" borderId="12" xfId="0" applyBorder="1" applyAlignment="1">
      <alignment vertical="center"/>
    </xf>
    <xf numFmtId="1" fontId="2" fillId="2" borderId="17" xfId="0" applyNumberFormat="1" applyFont="1" applyFill="1" applyBorder="1" applyAlignment="1">
      <alignment vertical="center"/>
    </xf>
    <xf numFmtId="1" fontId="2" fillId="2" borderId="11" xfId="0" applyNumberFormat="1" applyFont="1" applyFill="1" applyBorder="1" applyAlignment="1">
      <alignment vertical="center"/>
    </xf>
    <xf numFmtId="1" fontId="2" fillId="2" borderId="8" xfId="1" applyNumberFormat="1" applyFont="1" applyFill="1" applyBorder="1" applyAlignment="1">
      <alignment vertical="center"/>
    </xf>
    <xf numFmtId="1" fontId="2" fillId="2" borderId="10" xfId="0" applyNumberFormat="1" applyFont="1" applyFill="1" applyBorder="1" applyAlignment="1">
      <alignment vertical="center"/>
    </xf>
    <xf numFmtId="1" fontId="2" fillId="2" borderId="8" xfId="0" applyNumberFormat="1" applyFont="1" applyFill="1" applyBorder="1" applyAlignment="1">
      <alignment vertical="center"/>
    </xf>
    <xf numFmtId="1" fontId="2" fillId="2" borderId="7" xfId="0" applyNumberFormat="1" applyFont="1" applyFill="1" applyBorder="1" applyAlignment="1">
      <alignment vertical="center"/>
    </xf>
    <xf numFmtId="1" fontId="2" fillId="2" borderId="2" xfId="0" applyNumberFormat="1" applyFont="1" applyFill="1" applyBorder="1" applyAlignment="1">
      <alignment vertical="center"/>
    </xf>
    <xf numFmtId="0" fontId="15" fillId="0" borderId="0" xfId="0" applyFont="1" applyAlignment="1">
      <alignment horizontal="center" vertical="center"/>
    </xf>
    <xf numFmtId="1" fontId="15" fillId="0" borderId="1" xfId="0" applyNumberFormat="1" applyFont="1" applyBorder="1" applyAlignment="1">
      <alignment horizontal="center" vertical="center"/>
    </xf>
    <xf numFmtId="166" fontId="15" fillId="0" borderId="1" xfId="0" applyNumberFormat="1" applyFont="1" applyBorder="1" applyAlignment="1">
      <alignment horizontal="center" vertical="center"/>
    </xf>
    <xf numFmtId="2" fontId="2" fillId="2" borderId="1" xfId="0" applyNumberFormat="1" applyFont="1" applyFill="1" applyBorder="1" applyAlignment="1">
      <alignment horizontal="center" vertical="center"/>
    </xf>
    <xf numFmtId="167" fontId="2" fillId="2" borderId="1" xfId="0" applyNumberFormat="1" applyFont="1" applyFill="1" applyBorder="1" applyAlignment="1">
      <alignment horizontal="center" vertical="center"/>
    </xf>
    <xf numFmtId="0" fontId="2" fillId="0" borderId="0" xfId="0" applyFont="1" applyAlignment="1">
      <alignment horizontal="left" vertical="center"/>
    </xf>
    <xf numFmtId="1" fontId="11" fillId="0" borderId="0" xfId="0" applyNumberFormat="1" applyFont="1" applyAlignment="1">
      <alignment horizontal="right" vertical="center"/>
    </xf>
    <xf numFmtId="2" fontId="2" fillId="0" borderId="1" xfId="0" applyNumberFormat="1" applyFont="1" applyBorder="1"/>
    <xf numFmtId="2" fontId="2" fillId="0" borderId="0" xfId="0" applyNumberFormat="1" applyFont="1"/>
    <xf numFmtId="165" fontId="2" fillId="0" borderId="0" xfId="0" applyNumberFormat="1" applyFont="1" applyAlignment="1">
      <alignment vertical="center"/>
    </xf>
    <xf numFmtId="2" fontId="2" fillId="0" borderId="0" xfId="0" applyNumberFormat="1" applyFont="1" applyAlignment="1">
      <alignment horizontal="right" vertical="center"/>
    </xf>
    <xf numFmtId="164" fontId="10" fillId="2" borderId="13" xfId="0" applyNumberFormat="1" applyFont="1" applyFill="1" applyBorder="1" applyAlignment="1">
      <alignment vertical="center"/>
    </xf>
    <xf numFmtId="0" fontId="2" fillId="0" borderId="9" xfId="0" applyFont="1" applyBorder="1"/>
    <xf numFmtId="0" fontId="2" fillId="0" borderId="19" xfId="0" applyFont="1" applyBorder="1"/>
    <xf numFmtId="0" fontId="2" fillId="0" borderId="20" xfId="0" applyFont="1" applyBorder="1"/>
    <xf numFmtId="164" fontId="2" fillId="2" borderId="21" xfId="0" applyNumberFormat="1" applyFont="1" applyFill="1" applyBorder="1" applyAlignment="1">
      <alignment vertical="center"/>
    </xf>
    <xf numFmtId="165" fontId="2" fillId="2" borderId="21" xfId="0" applyNumberFormat="1" applyFont="1" applyFill="1" applyBorder="1" applyAlignment="1">
      <alignment vertical="center"/>
    </xf>
    <xf numFmtId="2" fontId="2" fillId="2" borderId="21" xfId="0" applyNumberFormat="1" applyFont="1" applyFill="1" applyBorder="1" applyAlignment="1">
      <alignment vertical="center"/>
    </xf>
    <xf numFmtId="2" fontId="10" fillId="2" borderId="0" xfId="0" applyNumberFormat="1" applyFont="1" applyFill="1" applyAlignment="1">
      <alignment vertical="center"/>
    </xf>
    <xf numFmtId="2" fontId="10" fillId="2" borderId="9" xfId="0" applyNumberFormat="1" applyFont="1" applyFill="1" applyBorder="1" applyAlignment="1">
      <alignment vertical="center"/>
    </xf>
    <xf numFmtId="2" fontId="10" fillId="2" borderId="12" xfId="0" applyNumberFormat="1" applyFont="1" applyFill="1" applyBorder="1" applyAlignment="1">
      <alignment vertical="center"/>
    </xf>
    <xf numFmtId="2" fontId="10" fillId="2" borderId="13" xfId="0" applyNumberFormat="1" applyFont="1" applyFill="1" applyBorder="1" applyAlignment="1">
      <alignment vertical="center"/>
    </xf>
    <xf numFmtId="0" fontId="1" fillId="0" borderId="0" xfId="2"/>
    <xf numFmtId="0" fontId="18" fillId="0" borderId="0" xfId="2" applyFont="1" applyAlignment="1">
      <alignment horizontal="center"/>
    </xf>
    <xf numFmtId="0" fontId="18" fillId="0" borderId="0" xfId="2" applyFont="1"/>
    <xf numFmtId="0" fontId="19" fillId="0" borderId="0" xfId="2" applyFont="1"/>
    <xf numFmtId="0" fontId="16" fillId="0" borderId="0" xfId="4" applyAlignment="1">
      <alignment horizontal="center"/>
    </xf>
    <xf numFmtId="0" fontId="20" fillId="0" borderId="0" xfId="2" applyFont="1" applyAlignment="1">
      <alignment horizontal="right" vertical="center"/>
    </xf>
    <xf numFmtId="0" fontId="21" fillId="0" borderId="0" xfId="2" applyFont="1" applyAlignment="1">
      <alignment horizontal="center"/>
    </xf>
    <xf numFmtId="0" fontId="22" fillId="0" borderId="0" xfId="2" applyFont="1"/>
    <xf numFmtId="0" fontId="23" fillId="0" borderId="0" xfId="2" applyFont="1"/>
    <xf numFmtId="0" fontId="23" fillId="6" borderId="36" xfId="2" quotePrefix="1" applyFont="1" applyFill="1" applyBorder="1" applyAlignment="1">
      <alignment horizontal="center" vertical="center"/>
    </xf>
    <xf numFmtId="0" fontId="20" fillId="6" borderId="38" xfId="2" applyFont="1" applyFill="1" applyBorder="1"/>
    <xf numFmtId="0" fontId="20" fillId="0" borderId="38" xfId="2" applyFont="1" applyBorder="1"/>
    <xf numFmtId="0" fontId="20" fillId="6" borderId="35" xfId="2" applyFont="1" applyFill="1" applyBorder="1"/>
    <xf numFmtId="0" fontId="23" fillId="6" borderId="39" xfId="2" applyFont="1" applyFill="1" applyBorder="1"/>
    <xf numFmtId="0" fontId="23" fillId="6" borderId="40" xfId="2" applyFont="1" applyFill="1" applyBorder="1"/>
    <xf numFmtId="0" fontId="23" fillId="0" borderId="40" xfId="2" applyFont="1" applyBorder="1"/>
    <xf numFmtId="0" fontId="23" fillId="6" borderId="41" xfId="2" applyFont="1" applyFill="1" applyBorder="1"/>
    <xf numFmtId="0" fontId="23" fillId="0" borderId="39" xfId="2" applyFont="1" applyBorder="1"/>
    <xf numFmtId="0" fontId="23" fillId="0" borderId="42" xfId="2" applyFont="1" applyBorder="1"/>
    <xf numFmtId="0" fontId="23" fillId="6" borderId="43" xfId="2" applyFont="1" applyFill="1" applyBorder="1"/>
    <xf numFmtId="0" fontId="23" fillId="0" borderId="43" xfId="2" applyFont="1" applyBorder="1"/>
    <xf numFmtId="0" fontId="24" fillId="6" borderId="40" xfId="2" applyFont="1" applyFill="1" applyBorder="1"/>
    <xf numFmtId="0" fontId="23" fillId="6" borderId="44" xfId="2" applyFont="1" applyFill="1" applyBorder="1"/>
    <xf numFmtId="0" fontId="23" fillId="6" borderId="45" xfId="2" applyFont="1" applyFill="1" applyBorder="1"/>
    <xf numFmtId="0" fontId="23" fillId="0" borderId="45" xfId="2" applyFont="1" applyBorder="1"/>
    <xf numFmtId="0" fontId="23" fillId="6" borderId="46" xfId="2" applyFont="1" applyFill="1" applyBorder="1"/>
    <xf numFmtId="0" fontId="23" fillId="6" borderId="47" xfId="2" applyFont="1" applyFill="1" applyBorder="1"/>
    <xf numFmtId="0" fontId="23" fillId="0" borderId="47" xfId="2" applyFont="1" applyBorder="1"/>
    <xf numFmtId="0" fontId="23" fillId="6" borderId="48" xfId="2" applyFont="1" applyFill="1" applyBorder="1"/>
    <xf numFmtId="0" fontId="23" fillId="6" borderId="49" xfId="2" applyFont="1" applyFill="1" applyBorder="1"/>
    <xf numFmtId="0" fontId="23" fillId="0" borderId="50" xfId="2" applyFont="1" applyBorder="1"/>
    <xf numFmtId="0" fontId="23" fillId="6" borderId="51" xfId="2" applyFont="1" applyFill="1" applyBorder="1"/>
    <xf numFmtId="0" fontId="23" fillId="0" borderId="51" xfId="2" applyFont="1" applyBorder="1"/>
    <xf numFmtId="0" fontId="23" fillId="6" borderId="52" xfId="2" applyFont="1" applyFill="1" applyBorder="1"/>
    <xf numFmtId="0" fontId="23" fillId="6" borderId="53" xfId="2" applyFont="1" applyFill="1" applyBorder="1"/>
    <xf numFmtId="0" fontId="23" fillId="6" borderId="54" xfId="2" applyFont="1" applyFill="1" applyBorder="1"/>
    <xf numFmtId="0" fontId="23" fillId="0" borderId="54" xfId="2" applyFont="1" applyBorder="1"/>
    <xf numFmtId="0" fontId="23" fillId="6" borderId="55" xfId="2" applyFont="1" applyFill="1" applyBorder="1"/>
    <xf numFmtId="0" fontId="23" fillId="0" borderId="56" xfId="2" applyFont="1" applyBorder="1"/>
    <xf numFmtId="0" fontId="23" fillId="0" borderId="57" xfId="2" applyFont="1" applyBorder="1"/>
    <xf numFmtId="0" fontId="23" fillId="0" borderId="58" xfId="2" applyFont="1" applyBorder="1"/>
    <xf numFmtId="0" fontId="23" fillId="0" borderId="43" xfId="2" quotePrefix="1" applyFont="1" applyBorder="1" applyAlignment="1">
      <alignment horizontal="left" vertical="center"/>
    </xf>
    <xf numFmtId="0" fontId="23" fillId="6" borderId="39" xfId="2" quotePrefix="1" applyFont="1" applyFill="1" applyBorder="1" applyAlignment="1">
      <alignment horizontal="left" vertical="center"/>
    </xf>
    <xf numFmtId="0" fontId="23" fillId="6" borderId="40" xfId="2" quotePrefix="1" applyFont="1" applyFill="1" applyBorder="1" applyAlignment="1">
      <alignment horizontal="left" vertical="center"/>
    </xf>
    <xf numFmtId="0" fontId="23" fillId="0" borderId="40" xfId="2" quotePrefix="1" applyFont="1" applyBorder="1" applyAlignment="1">
      <alignment horizontal="left" vertical="center"/>
    </xf>
    <xf numFmtId="0" fontId="23" fillId="0" borderId="41" xfId="2" applyFont="1" applyBorder="1"/>
    <xf numFmtId="0" fontId="23" fillId="6" borderId="59" xfId="2" quotePrefix="1" applyFont="1" applyFill="1" applyBorder="1" applyAlignment="1">
      <alignment horizontal="center" vertical="center"/>
    </xf>
    <xf numFmtId="0" fontId="23" fillId="0" borderId="61" xfId="2" applyFont="1" applyBorder="1"/>
    <xf numFmtId="0" fontId="23" fillId="0" borderId="62" xfId="2" applyFont="1" applyBorder="1"/>
    <xf numFmtId="0" fontId="25" fillId="0" borderId="0" xfId="2" applyFont="1"/>
    <xf numFmtId="0" fontId="23" fillId="0" borderId="21" xfId="2" applyFont="1" applyBorder="1"/>
    <xf numFmtId="0" fontId="24" fillId="0" borderId="21" xfId="2" applyFont="1" applyBorder="1" applyAlignment="1">
      <alignment horizontal="right" vertical="center"/>
    </xf>
    <xf numFmtId="0" fontId="26" fillId="0" borderId="0" xfId="2" applyFont="1" applyAlignment="1">
      <alignment horizontal="right" vertical="center"/>
    </xf>
    <xf numFmtId="0" fontId="23" fillId="0" borderId="38" xfId="2" applyFont="1" applyBorder="1"/>
    <xf numFmtId="0" fontId="23" fillId="6" borderId="40" xfId="2" applyFont="1" applyFill="1" applyBorder="1" applyAlignment="1">
      <alignment horizontal="left" vertical="center"/>
    </xf>
    <xf numFmtId="0" fontId="23" fillId="0" borderId="47" xfId="2" quotePrefix="1" applyFont="1" applyBorder="1" applyAlignment="1">
      <alignment horizontal="left" vertical="center"/>
    </xf>
    <xf numFmtId="9" fontId="23" fillId="0" borderId="40" xfId="6" applyFont="1" applyBorder="1"/>
    <xf numFmtId="0" fontId="23" fillId="0" borderId="40" xfId="2" applyFont="1" applyBorder="1" applyAlignment="1">
      <alignment horizontal="center"/>
    </xf>
    <xf numFmtId="0" fontId="23" fillId="0" borderId="69" xfId="2" quotePrefix="1" applyFont="1" applyBorder="1" applyAlignment="1">
      <alignment horizontal="left" vertical="center"/>
    </xf>
    <xf numFmtId="9" fontId="23" fillId="6" borderId="40" xfId="6" applyFont="1" applyFill="1" applyBorder="1"/>
    <xf numFmtId="0" fontId="23" fillId="6" borderId="40" xfId="2" applyFont="1" applyFill="1" applyBorder="1" applyAlignment="1">
      <alignment horizontal="center"/>
    </xf>
    <xf numFmtId="0" fontId="23" fillId="6" borderId="69" xfId="2" quotePrefix="1" applyFont="1" applyFill="1" applyBorder="1" applyAlignment="1">
      <alignment horizontal="left" vertical="center"/>
    </xf>
    <xf numFmtId="0" fontId="23" fillId="0" borderId="40" xfId="2" applyFont="1" applyBorder="1" applyAlignment="1">
      <alignment horizontal="left" vertical="center"/>
    </xf>
    <xf numFmtId="0" fontId="23" fillId="0" borderId="69" xfId="2" applyFont="1" applyBorder="1"/>
    <xf numFmtId="0" fontId="23" fillId="6" borderId="45" xfId="2" quotePrefix="1" applyFont="1" applyFill="1" applyBorder="1" applyAlignment="1">
      <alignment horizontal="left" vertical="center"/>
    </xf>
    <xf numFmtId="0" fontId="23" fillId="0" borderId="45" xfId="2" quotePrefix="1" applyFont="1" applyBorder="1" applyAlignment="1">
      <alignment horizontal="left" vertical="center"/>
    </xf>
    <xf numFmtId="0" fontId="23" fillId="0" borderId="70" xfId="2" applyFont="1" applyBorder="1"/>
    <xf numFmtId="0" fontId="23" fillId="0" borderId="66" xfId="2" applyFont="1" applyBorder="1"/>
    <xf numFmtId="0" fontId="23" fillId="6" borderId="68" xfId="2" applyFont="1" applyFill="1" applyBorder="1"/>
    <xf numFmtId="0" fontId="23" fillId="0" borderId="68" xfId="2" applyFont="1" applyBorder="1"/>
    <xf numFmtId="0" fontId="23" fillId="0" borderId="40" xfId="2" quotePrefix="1" applyFont="1" applyBorder="1"/>
    <xf numFmtId="0" fontId="23" fillId="6" borderId="69" xfId="2" applyFont="1" applyFill="1" applyBorder="1"/>
    <xf numFmtId="0" fontId="23" fillId="0" borderId="69" xfId="2" quotePrefix="1" applyFont="1" applyBorder="1"/>
    <xf numFmtId="0" fontId="24" fillId="6" borderId="40" xfId="2" quotePrefix="1" applyFont="1" applyFill="1" applyBorder="1"/>
    <xf numFmtId="9" fontId="23" fillId="0" borderId="40" xfId="2" applyNumberFormat="1" applyFont="1" applyBorder="1"/>
    <xf numFmtId="9" fontId="23" fillId="0" borderId="40" xfId="6" quotePrefix="1" applyFont="1" applyBorder="1"/>
    <xf numFmtId="0" fontId="23" fillId="0" borderId="45" xfId="2" quotePrefix="1" applyFont="1" applyBorder="1"/>
    <xf numFmtId="0" fontId="23" fillId="6" borderId="61" xfId="2" applyFont="1" applyFill="1" applyBorder="1" applyAlignment="1">
      <alignment horizontal="left" vertical="center"/>
    </xf>
    <xf numFmtId="0" fontId="23" fillId="0" borderId="61" xfId="2" applyFont="1" applyBorder="1" applyAlignment="1">
      <alignment horizontal="left" vertical="center"/>
    </xf>
    <xf numFmtId="2" fontId="23" fillId="0" borderId="40" xfId="2" applyNumberFormat="1" applyFont="1" applyBorder="1"/>
    <xf numFmtId="164" fontId="2" fillId="2" borderId="21" xfId="0" applyNumberFormat="1" applyFont="1" applyFill="1" applyBorder="1" applyAlignment="1">
      <alignment horizontal="right" vertical="center"/>
    </xf>
    <xf numFmtId="165" fontId="2" fillId="2" borderId="21" xfId="0" applyNumberFormat="1" applyFont="1" applyFill="1" applyBorder="1" applyAlignment="1">
      <alignment horizontal="right" vertical="center"/>
    </xf>
    <xf numFmtId="164" fontId="2"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164" fontId="2" fillId="2" borderId="12" xfId="0" applyNumberFormat="1" applyFont="1" applyFill="1" applyBorder="1" applyAlignment="1">
      <alignment horizontal="right" vertical="center"/>
    </xf>
    <xf numFmtId="165" fontId="2" fillId="2" borderId="12" xfId="0" applyNumberFormat="1" applyFont="1" applyFill="1" applyBorder="1" applyAlignment="1">
      <alignment horizontal="right" vertical="center"/>
    </xf>
    <xf numFmtId="164" fontId="10" fillId="2" borderId="19" xfId="0" applyNumberFormat="1" applyFont="1" applyFill="1" applyBorder="1" applyAlignment="1">
      <alignment vertical="center"/>
    </xf>
    <xf numFmtId="164" fontId="10" fillId="2" borderId="72" xfId="0" applyNumberFormat="1" applyFont="1" applyFill="1" applyBorder="1" applyAlignment="1">
      <alignment vertical="center"/>
    </xf>
    <xf numFmtId="2" fontId="2" fillId="0" borderId="7" xfId="0" applyNumberFormat="1" applyFont="1" applyBorder="1"/>
    <xf numFmtId="3" fontId="0" fillId="0" borderId="0" xfId="0" applyNumberFormat="1"/>
    <xf numFmtId="0" fontId="4" fillId="0" borderId="0" xfId="0" applyFont="1" applyAlignment="1">
      <alignment horizontal="center" vertical="center"/>
    </xf>
    <xf numFmtId="0" fontId="2" fillId="0" borderId="11" xfId="0" applyFont="1" applyBorder="1" applyAlignment="1">
      <alignment vertical="center"/>
    </xf>
    <xf numFmtId="2" fontId="10" fillId="4" borderId="0" xfId="0" applyNumberFormat="1" applyFont="1" applyFill="1" applyAlignment="1">
      <alignment vertical="center"/>
    </xf>
    <xf numFmtId="2" fontId="10" fillId="4" borderId="9" xfId="0" applyNumberFormat="1" applyFont="1" applyFill="1" applyBorder="1" applyAlignment="1">
      <alignment vertical="center"/>
    </xf>
    <xf numFmtId="0" fontId="10" fillId="2" borderId="63" xfId="0" applyFont="1" applyFill="1" applyBorder="1" applyAlignment="1">
      <alignment vertical="center"/>
    </xf>
    <xf numFmtId="2" fontId="10" fillId="4" borderId="31" xfId="0" applyNumberFormat="1" applyFont="1" applyFill="1" applyBorder="1" applyAlignment="1">
      <alignment vertical="center"/>
    </xf>
    <xf numFmtId="0" fontId="10" fillId="2" borderId="65" xfId="0" applyFont="1" applyFill="1" applyBorder="1" applyAlignment="1">
      <alignment vertical="center"/>
    </xf>
    <xf numFmtId="2" fontId="10" fillId="4" borderId="19" xfId="0" applyNumberFormat="1" applyFont="1" applyFill="1" applyBorder="1" applyAlignment="1">
      <alignment vertical="center"/>
    </xf>
    <xf numFmtId="2" fontId="10" fillId="4" borderId="34" xfId="0" applyNumberFormat="1" applyFont="1" applyFill="1" applyBorder="1" applyAlignment="1">
      <alignment vertical="center"/>
    </xf>
    <xf numFmtId="0" fontId="0" fillId="0" borderId="78" xfId="0" applyBorder="1" applyAlignment="1">
      <alignment horizontal="center"/>
    </xf>
    <xf numFmtId="0" fontId="0" fillId="0" borderId="79"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10" fillId="0" borderId="0" xfId="0" applyFont="1" applyAlignment="1">
      <alignment horizontal="right" vertical="center"/>
    </xf>
    <xf numFmtId="0" fontId="10" fillId="0" borderId="0" xfId="0" applyFont="1"/>
    <xf numFmtId="0" fontId="23" fillId="6" borderId="36" xfId="0" applyFont="1" applyFill="1" applyBorder="1" applyAlignment="1">
      <alignment horizontal="left" vertical="center" wrapText="1" indent="2"/>
    </xf>
    <xf numFmtId="0" fontId="23" fillId="6" borderId="83" xfId="0" applyFont="1" applyFill="1" applyBorder="1" applyAlignment="1">
      <alignment horizontal="left" vertical="center" wrapText="1" indent="2"/>
    </xf>
    <xf numFmtId="168" fontId="23" fillId="6" borderId="36" xfId="0" applyNumberFormat="1" applyFont="1" applyFill="1" applyBorder="1" applyAlignment="1">
      <alignment horizontal="left" indent="2"/>
    </xf>
    <xf numFmtId="168" fontId="23" fillId="6" borderId="59" xfId="0" applyNumberFormat="1" applyFont="1" applyFill="1" applyBorder="1" applyAlignment="1">
      <alignment horizontal="left" indent="2"/>
    </xf>
    <xf numFmtId="0" fontId="27" fillId="0" borderId="0" xfId="0" applyFont="1"/>
    <xf numFmtId="0" fontId="28" fillId="9" borderId="74" xfId="0" applyFont="1" applyFill="1" applyBorder="1" applyAlignment="1">
      <alignment horizontal="center"/>
    </xf>
    <xf numFmtId="0" fontId="27" fillId="10" borderId="77" xfId="0" applyFont="1" applyFill="1" applyBorder="1"/>
    <xf numFmtId="0" fontId="27" fillId="10" borderId="80" xfId="0" applyFont="1" applyFill="1" applyBorder="1"/>
    <xf numFmtId="2"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13" borderId="0" xfId="0" applyFont="1" applyFill="1" applyAlignment="1">
      <alignment horizontal="center" vertical="center"/>
    </xf>
    <xf numFmtId="0" fontId="6" fillId="8" borderId="0" xfId="0" applyFont="1" applyFill="1" applyAlignment="1">
      <alignment horizontal="center" vertical="center"/>
    </xf>
    <xf numFmtId="0" fontId="8" fillId="8" borderId="0" xfId="0" applyFont="1" applyFill="1" applyAlignment="1">
      <alignment horizontal="center" vertical="center"/>
    </xf>
    <xf numFmtId="0" fontId="6" fillId="2" borderId="0" xfId="0" applyFont="1" applyFill="1" applyAlignment="1">
      <alignment horizontal="right" vertical="center"/>
    </xf>
    <xf numFmtId="2" fontId="6" fillId="2" borderId="87" xfId="0" applyNumberFormat="1" applyFont="1" applyFill="1" applyBorder="1" applyAlignment="1">
      <alignment horizontal="center" vertical="center"/>
    </xf>
    <xf numFmtId="0" fontId="6" fillId="2" borderId="87" xfId="0" applyFont="1" applyFill="1" applyBorder="1" applyAlignment="1">
      <alignment horizontal="center" vertical="center"/>
    </xf>
    <xf numFmtId="0" fontId="6" fillId="13" borderId="87" xfId="0" applyFont="1" applyFill="1" applyBorder="1" applyAlignment="1">
      <alignment horizontal="center" vertical="center"/>
    </xf>
    <xf numFmtId="0" fontId="6" fillId="8" borderId="87" xfId="0" applyFont="1" applyFill="1" applyBorder="1" applyAlignment="1">
      <alignment horizontal="center" vertical="center"/>
    </xf>
    <xf numFmtId="2" fontId="6" fillId="2" borderId="87" xfId="0" applyNumberFormat="1" applyFont="1" applyFill="1" applyBorder="1" applyAlignment="1">
      <alignment horizontal="right" vertical="center"/>
    </xf>
    <xf numFmtId="0" fontId="6" fillId="2" borderId="87" xfId="0" applyFont="1" applyFill="1" applyBorder="1" applyAlignment="1">
      <alignment horizontal="right" vertical="center"/>
    </xf>
    <xf numFmtId="0" fontId="29" fillId="11" borderId="89" xfId="0" applyFont="1" applyFill="1" applyBorder="1" applyAlignment="1">
      <alignment horizontal="center" vertical="center" wrapText="1"/>
    </xf>
    <xf numFmtId="0" fontId="30" fillId="11" borderId="89" xfId="0" applyFont="1" applyFill="1" applyBorder="1" applyAlignment="1">
      <alignment horizontal="center" vertical="center" wrapText="1"/>
    </xf>
    <xf numFmtId="0" fontId="29" fillId="11" borderId="90" xfId="0" applyFont="1" applyFill="1" applyBorder="1" applyAlignment="1">
      <alignment horizontal="center" vertical="center" wrapText="1"/>
    </xf>
    <xf numFmtId="0" fontId="4" fillId="9" borderId="86" xfId="0" applyFont="1" applyFill="1" applyBorder="1" applyAlignment="1">
      <alignment horizontal="center" vertical="center"/>
    </xf>
    <xf numFmtId="0" fontId="2" fillId="10" borderId="91" xfId="0" applyFont="1" applyFill="1" applyBorder="1" applyAlignment="1">
      <alignment horizontal="left" vertical="center"/>
    </xf>
    <xf numFmtId="0" fontId="13" fillId="11" borderId="86" xfId="0" applyFont="1" applyFill="1" applyBorder="1" applyAlignment="1">
      <alignment horizontal="center" vertical="center"/>
    </xf>
    <xf numFmtId="0" fontId="7" fillId="2" borderId="0" xfId="0" applyFont="1" applyFill="1" applyAlignment="1">
      <alignment horizontal="center" vertical="center"/>
    </xf>
    <xf numFmtId="0" fontId="2" fillId="6" borderId="92" xfId="0" applyFont="1" applyFill="1" applyBorder="1" applyAlignment="1">
      <alignment horizontal="center" vertical="center"/>
    </xf>
    <xf numFmtId="0" fontId="2" fillId="6" borderId="91" xfId="0" applyFont="1" applyFill="1" applyBorder="1" applyAlignment="1">
      <alignment horizontal="center" vertical="center"/>
    </xf>
    <xf numFmtId="0" fontId="5" fillId="6" borderId="91" xfId="0" applyFont="1" applyFill="1" applyBorder="1" applyAlignment="1">
      <alignment horizontal="center" vertical="center"/>
    </xf>
    <xf numFmtId="0" fontId="2" fillId="6" borderId="93" xfId="0" applyFont="1" applyFill="1" applyBorder="1" applyAlignment="1">
      <alignment horizontal="center" vertical="center"/>
    </xf>
    <xf numFmtId="2" fontId="6" fillId="2" borderId="89" xfId="0" applyNumberFormat="1" applyFont="1" applyFill="1" applyBorder="1" applyAlignment="1">
      <alignment horizontal="center" vertical="center"/>
    </xf>
    <xf numFmtId="2" fontId="6" fillId="2" borderId="90" xfId="0" applyNumberFormat="1" applyFont="1" applyFill="1" applyBorder="1" applyAlignment="1">
      <alignment horizontal="center" vertical="center"/>
    </xf>
    <xf numFmtId="0" fontId="6" fillId="2" borderId="89"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94" xfId="0" applyFont="1" applyFill="1" applyBorder="1" applyAlignment="1">
      <alignment horizontal="center" vertical="center"/>
    </xf>
    <xf numFmtId="0" fontId="13" fillId="11" borderId="93" xfId="0" applyFont="1" applyFill="1" applyBorder="1" applyAlignment="1">
      <alignment horizontal="center" vertical="center"/>
    </xf>
    <xf numFmtId="0" fontId="13" fillId="11" borderId="91" xfId="0" applyFont="1" applyFill="1" applyBorder="1" applyAlignment="1">
      <alignment horizontal="center" vertical="center"/>
    </xf>
    <xf numFmtId="0" fontId="4" fillId="9" borderId="86" xfId="0" applyFont="1" applyFill="1" applyBorder="1" applyAlignment="1">
      <alignment horizontal="center" vertical="center" wrapText="1"/>
    </xf>
    <xf numFmtId="2" fontId="2" fillId="2" borderId="0" xfId="0" applyNumberFormat="1" applyFont="1" applyFill="1" applyAlignment="1">
      <alignment horizontal="center" vertical="center"/>
    </xf>
    <xf numFmtId="2" fontId="2" fillId="2" borderId="0" xfId="0" applyNumberFormat="1" applyFont="1" applyFill="1" applyAlignment="1">
      <alignment horizontal="right" vertical="center"/>
    </xf>
    <xf numFmtId="2" fontId="2" fillId="2" borderId="87" xfId="0" applyNumberFormat="1" applyFont="1" applyFill="1" applyBorder="1" applyAlignment="1">
      <alignment horizontal="right" vertical="center"/>
    </xf>
    <xf numFmtId="0" fontId="2" fillId="2" borderId="97" xfId="0" applyFont="1" applyFill="1" applyBorder="1" applyAlignment="1">
      <alignment horizontal="right" vertical="center"/>
    </xf>
    <xf numFmtId="0" fontId="2" fillId="2" borderId="98" xfId="0" applyFont="1" applyFill="1" applyBorder="1" applyAlignment="1">
      <alignment horizontal="right" vertical="center"/>
    </xf>
    <xf numFmtId="2" fontId="2" fillId="2" borderId="94" xfId="0" applyNumberFormat="1" applyFont="1" applyFill="1" applyBorder="1" applyAlignment="1">
      <alignment horizontal="center" vertical="center"/>
    </xf>
    <xf numFmtId="2" fontId="2" fillId="2" borderId="89" xfId="0" applyNumberFormat="1" applyFont="1" applyFill="1" applyBorder="1" applyAlignment="1">
      <alignment horizontal="center" vertical="center"/>
    </xf>
    <xf numFmtId="2" fontId="2" fillId="2" borderId="90" xfId="0" applyNumberFormat="1" applyFont="1" applyFill="1" applyBorder="1" applyAlignment="1">
      <alignment horizontal="center" vertical="center"/>
    </xf>
    <xf numFmtId="0" fontId="2" fillId="2" borderId="0" xfId="0" applyFont="1" applyFill="1" applyAlignment="1">
      <alignment horizontal="right" vertical="center"/>
    </xf>
    <xf numFmtId="0" fontId="2" fillId="2" borderId="87" xfId="0" applyFont="1" applyFill="1" applyBorder="1" applyAlignment="1">
      <alignment horizontal="right" vertical="center"/>
    </xf>
    <xf numFmtId="2" fontId="2" fillId="2" borderId="95" xfId="0" applyNumberFormat="1" applyFont="1" applyFill="1" applyBorder="1" applyAlignment="1">
      <alignment horizontal="right" vertical="center"/>
    </xf>
    <xf numFmtId="2" fontId="2" fillId="2" borderId="99" xfId="0" applyNumberFormat="1" applyFont="1" applyFill="1" applyBorder="1" applyAlignment="1">
      <alignment horizontal="right" vertical="center"/>
    </xf>
    <xf numFmtId="2" fontId="2" fillId="2" borderId="100" xfId="0" applyNumberFormat="1" applyFont="1" applyFill="1" applyBorder="1" applyAlignment="1">
      <alignment horizontal="right" vertical="center"/>
    </xf>
    <xf numFmtId="2" fontId="2" fillId="2" borderId="96" xfId="0" applyNumberFormat="1" applyFont="1" applyFill="1" applyBorder="1" applyAlignment="1">
      <alignment horizontal="center" vertical="center"/>
    </xf>
    <xf numFmtId="2" fontId="2" fillId="2" borderId="97" xfId="0" applyNumberFormat="1" applyFont="1" applyFill="1" applyBorder="1" applyAlignment="1">
      <alignment horizontal="center" vertical="center"/>
    </xf>
    <xf numFmtId="2" fontId="2" fillId="2" borderId="98" xfId="0" applyNumberFormat="1" applyFont="1" applyFill="1" applyBorder="1" applyAlignment="1">
      <alignment horizontal="center" vertical="center"/>
    </xf>
    <xf numFmtId="2" fontId="2" fillId="2" borderId="87" xfId="0" applyNumberFormat="1" applyFont="1" applyFill="1" applyBorder="1" applyAlignment="1">
      <alignment horizontal="center" vertical="center"/>
    </xf>
    <xf numFmtId="0" fontId="2" fillId="2" borderId="94" xfId="0" applyFont="1" applyFill="1" applyBorder="1" applyAlignment="1">
      <alignment horizontal="right" vertical="center"/>
    </xf>
    <xf numFmtId="0" fontId="2" fillId="2" borderId="89" xfId="0" applyFont="1" applyFill="1" applyBorder="1" applyAlignment="1">
      <alignment horizontal="right" vertical="center"/>
    </xf>
    <xf numFmtId="0" fontId="2" fillId="2" borderId="90" xfId="0" applyFont="1" applyFill="1" applyBorder="1" applyAlignment="1">
      <alignment horizontal="right" vertical="center"/>
    </xf>
    <xf numFmtId="0" fontId="2" fillId="2" borderId="96" xfId="0" applyFont="1" applyFill="1" applyBorder="1" applyAlignment="1">
      <alignment horizontal="right" vertical="center"/>
    </xf>
    <xf numFmtId="0" fontId="2" fillId="2" borderId="95" xfId="0" applyFont="1" applyFill="1" applyBorder="1" applyAlignment="1">
      <alignment horizontal="right" vertical="center"/>
    </xf>
    <xf numFmtId="0" fontId="6" fillId="2" borderId="99" xfId="0" applyFont="1" applyFill="1" applyBorder="1" applyAlignment="1">
      <alignment horizontal="center" vertical="center"/>
    </xf>
    <xf numFmtId="0" fontId="6" fillId="2" borderId="100" xfId="0" applyFont="1" applyFill="1" applyBorder="1" applyAlignment="1">
      <alignment horizontal="center" vertical="center"/>
    </xf>
    <xf numFmtId="0" fontId="6" fillId="2" borderId="97" xfId="0" applyFont="1" applyFill="1" applyBorder="1" applyAlignment="1">
      <alignment horizontal="center" vertical="center"/>
    </xf>
    <xf numFmtId="0" fontId="6" fillId="2" borderId="98" xfId="0" applyFont="1" applyFill="1" applyBorder="1" applyAlignment="1">
      <alignment horizontal="center" vertical="center"/>
    </xf>
    <xf numFmtId="2" fontId="6" fillId="2" borderId="0" xfId="0" applyNumberFormat="1" applyFont="1" applyFill="1" applyAlignment="1">
      <alignment horizontal="right" vertical="center"/>
    </xf>
    <xf numFmtId="2" fontId="6" fillId="2" borderId="89" xfId="0" applyNumberFormat="1" applyFont="1" applyFill="1" applyBorder="1" applyAlignment="1">
      <alignment horizontal="right" vertical="center"/>
    </xf>
    <xf numFmtId="2" fontId="6" fillId="2" borderId="90" xfId="0" applyNumberFormat="1" applyFont="1" applyFill="1" applyBorder="1" applyAlignment="1">
      <alignment horizontal="right" vertical="center"/>
    </xf>
    <xf numFmtId="0" fontId="6" fillId="2" borderId="89" xfId="0" applyFont="1" applyFill="1" applyBorder="1" applyAlignment="1">
      <alignment horizontal="right" vertical="center"/>
    </xf>
    <xf numFmtId="0" fontId="6" fillId="2" borderId="90" xfId="0" applyFont="1" applyFill="1" applyBorder="1" applyAlignment="1">
      <alignment horizontal="right" vertical="center"/>
    </xf>
    <xf numFmtId="0" fontId="2" fillId="10" borderId="92" xfId="0" applyFont="1" applyFill="1" applyBorder="1" applyAlignment="1">
      <alignment horizontal="left" vertical="center"/>
    </xf>
    <xf numFmtId="0" fontId="2" fillId="2" borderId="99" xfId="0" applyFont="1" applyFill="1" applyBorder="1" applyAlignment="1">
      <alignment horizontal="right" vertical="center"/>
    </xf>
    <xf numFmtId="0" fontId="13" fillId="11" borderId="99" xfId="0" applyFont="1" applyFill="1" applyBorder="1" applyAlignment="1">
      <alignment horizontal="center" vertical="center" wrapText="1"/>
    </xf>
    <xf numFmtId="0" fontId="31" fillId="11" borderId="99" xfId="0" applyFont="1" applyFill="1" applyBorder="1" applyAlignment="1">
      <alignment horizontal="center" vertical="center" wrapText="1"/>
    </xf>
    <xf numFmtId="0" fontId="13" fillId="11" borderId="100" xfId="0" applyFont="1" applyFill="1" applyBorder="1" applyAlignment="1">
      <alignment horizontal="center" vertical="center" wrapText="1"/>
    </xf>
    <xf numFmtId="0" fontId="2" fillId="4" borderId="86" xfId="0" applyFont="1" applyFill="1" applyBorder="1" applyAlignment="1">
      <alignment vertical="center"/>
    </xf>
    <xf numFmtId="2" fontId="2" fillId="2" borderId="97" xfId="0" applyNumberFormat="1" applyFont="1" applyFill="1" applyBorder="1" applyAlignment="1">
      <alignment horizontal="right" vertical="center"/>
    </xf>
    <xf numFmtId="2" fontId="2" fillId="2" borderId="98" xfId="0" applyNumberFormat="1" applyFont="1" applyFill="1" applyBorder="1" applyAlignment="1">
      <alignment horizontal="right" vertical="center"/>
    </xf>
    <xf numFmtId="2" fontId="2" fillId="2" borderId="95" xfId="0" applyNumberFormat="1" applyFont="1" applyFill="1" applyBorder="1" applyAlignment="1">
      <alignment horizontal="center" vertical="center"/>
    </xf>
    <xf numFmtId="2" fontId="2" fillId="2" borderId="99" xfId="0" applyNumberFormat="1" applyFont="1" applyFill="1" applyBorder="1" applyAlignment="1">
      <alignment horizontal="center" vertical="center"/>
    </xf>
    <xf numFmtId="0" fontId="2" fillId="2" borderId="0" xfId="0" applyFont="1" applyFill="1" applyAlignment="1">
      <alignment horizontal="center" vertical="center"/>
    </xf>
    <xf numFmtId="2" fontId="2" fillId="2" borderId="100" xfId="0" applyNumberFormat="1" applyFont="1" applyFill="1" applyBorder="1" applyAlignment="1">
      <alignment horizontal="center" vertical="center"/>
    </xf>
    <xf numFmtId="0" fontId="2" fillId="2" borderId="100" xfId="0" applyFont="1" applyFill="1" applyBorder="1" applyAlignment="1">
      <alignment horizontal="right" vertical="center"/>
    </xf>
    <xf numFmtId="0" fontId="2" fillId="2" borderId="90" xfId="0" applyFont="1" applyFill="1" applyBorder="1" applyAlignment="1">
      <alignment horizontal="center" vertical="center"/>
    </xf>
    <xf numFmtId="0" fontId="2" fillId="2" borderId="87" xfId="0" applyFont="1" applyFill="1" applyBorder="1" applyAlignment="1">
      <alignment horizontal="center" vertical="center"/>
    </xf>
    <xf numFmtId="0" fontId="23" fillId="7" borderId="105" xfId="0" quotePrefix="1" applyFont="1" applyFill="1" applyBorder="1" applyAlignment="1">
      <alignment horizontal="center" vertical="center" wrapText="1"/>
    </xf>
    <xf numFmtId="0" fontId="23" fillId="7" borderId="106" xfId="0" quotePrefix="1" applyFont="1" applyFill="1" applyBorder="1" applyAlignment="1">
      <alignment horizontal="center" vertical="center" wrapText="1"/>
    </xf>
    <xf numFmtId="0" fontId="23" fillId="7" borderId="107" xfId="0" quotePrefix="1" applyFont="1" applyFill="1" applyBorder="1" applyAlignment="1">
      <alignment horizontal="center" vertical="center" wrapText="1"/>
    </xf>
    <xf numFmtId="0" fontId="23" fillId="7" borderId="108" xfId="0" quotePrefix="1" applyFont="1" applyFill="1" applyBorder="1" applyAlignment="1">
      <alignment horizontal="center" vertical="center" wrapText="1"/>
    </xf>
    <xf numFmtId="0" fontId="23" fillId="7" borderId="24" xfId="0" quotePrefix="1" applyFont="1" applyFill="1" applyBorder="1" applyAlignment="1">
      <alignment horizontal="center" vertical="center" wrapText="1"/>
    </xf>
    <xf numFmtId="0" fontId="23" fillId="7" borderId="22" xfId="0" quotePrefix="1" applyFont="1" applyFill="1" applyBorder="1" applyAlignment="1">
      <alignment horizontal="center" vertical="center" wrapText="1"/>
    </xf>
    <xf numFmtId="0" fontId="32" fillId="6" borderId="59" xfId="5" applyFont="1" applyFill="1" applyBorder="1" applyAlignment="1">
      <alignment horizontal="center" vertical="center" wrapText="1"/>
    </xf>
    <xf numFmtId="0" fontId="32" fillId="6" borderId="109" xfId="5" applyFont="1" applyFill="1" applyBorder="1" applyAlignment="1">
      <alignment horizontal="center" vertical="center" wrapText="1"/>
    </xf>
    <xf numFmtId="0" fontId="32" fillId="6" borderId="110" xfId="5" applyFont="1" applyFill="1" applyBorder="1" applyAlignment="1">
      <alignment horizontal="center" vertical="center" wrapText="1"/>
    </xf>
    <xf numFmtId="0" fontId="20" fillId="6" borderId="25" xfId="0" applyFont="1" applyFill="1" applyBorder="1" applyAlignment="1">
      <alignment horizontal="left" vertical="center" wrapText="1"/>
    </xf>
    <xf numFmtId="0" fontId="20" fillId="6" borderId="111" xfId="0" applyFont="1" applyFill="1" applyBorder="1" applyAlignment="1">
      <alignment horizontal="left" vertical="center" wrapText="1"/>
    </xf>
    <xf numFmtId="0" fontId="20" fillId="6" borderId="112" xfId="0" applyFont="1" applyFill="1" applyBorder="1" applyAlignment="1">
      <alignment horizontal="left" vertical="center" wrapText="1"/>
    </xf>
    <xf numFmtId="3" fontId="23" fillId="6" borderId="30" xfId="0" applyNumberFormat="1" applyFont="1" applyFill="1" applyBorder="1"/>
    <xf numFmtId="0" fontId="23" fillId="6" borderId="113" xfId="0" quotePrefix="1" applyFont="1" applyFill="1" applyBorder="1" applyAlignment="1">
      <alignment horizontal="left" vertical="center"/>
    </xf>
    <xf numFmtId="0" fontId="23" fillId="6" borderId="113" xfId="0" applyFont="1" applyFill="1" applyBorder="1"/>
    <xf numFmtId="3" fontId="23" fillId="6" borderId="114" xfId="0" applyNumberFormat="1" applyFont="1" applyFill="1" applyBorder="1"/>
    <xf numFmtId="0" fontId="23" fillId="6" borderId="115" xfId="0" quotePrefix="1" applyFont="1" applyFill="1" applyBorder="1" applyAlignment="1">
      <alignment horizontal="left" vertical="center"/>
    </xf>
    <xf numFmtId="0" fontId="23" fillId="6" borderId="116" xfId="0" applyFont="1" applyFill="1" applyBorder="1"/>
    <xf numFmtId="0" fontId="23" fillId="6" borderId="115" xfId="0" applyFont="1" applyFill="1" applyBorder="1"/>
    <xf numFmtId="0" fontId="23" fillId="6" borderId="112" xfId="0" applyFont="1" applyFill="1" applyBorder="1"/>
    <xf numFmtId="0" fontId="23" fillId="6" borderId="30" xfId="0" applyFont="1" applyFill="1" applyBorder="1"/>
    <xf numFmtId="0" fontId="23" fillId="6" borderId="114" xfId="0" applyFont="1" applyFill="1" applyBorder="1"/>
    <xf numFmtId="0" fontId="23" fillId="6" borderId="83" xfId="2" quotePrefix="1" applyFont="1" applyFill="1" applyBorder="1" applyAlignment="1">
      <alignment horizontal="center" vertical="center"/>
    </xf>
    <xf numFmtId="0" fontId="20" fillId="6" borderId="83" xfId="0" applyFont="1" applyFill="1" applyBorder="1" applyAlignment="1">
      <alignment horizontal="left" vertical="center" wrapText="1"/>
    </xf>
    <xf numFmtId="0" fontId="23" fillId="6" borderId="0" xfId="0" applyFont="1" applyFill="1"/>
    <xf numFmtId="0" fontId="23" fillId="6" borderId="102" xfId="2" quotePrefix="1" applyFont="1" applyFill="1" applyBorder="1" applyAlignment="1">
      <alignment horizontal="center" vertical="center"/>
    </xf>
    <xf numFmtId="0" fontId="23" fillId="6" borderId="102" xfId="0" applyFont="1" applyFill="1" applyBorder="1" applyAlignment="1">
      <alignment horizontal="left" vertical="center" wrapText="1" indent="2"/>
    </xf>
    <xf numFmtId="0" fontId="23" fillId="6" borderId="59" xfId="0" applyFont="1" applyFill="1" applyBorder="1" applyAlignment="1">
      <alignment horizontal="left" vertical="center" wrapText="1" indent="2"/>
    </xf>
    <xf numFmtId="0" fontId="20" fillId="6" borderId="117" xfId="0" applyFont="1" applyFill="1" applyBorder="1" applyAlignment="1">
      <alignment horizontal="left" vertical="center" wrapText="1"/>
    </xf>
    <xf numFmtId="0" fontId="23" fillId="6" borderId="118" xfId="0" applyFont="1" applyFill="1" applyBorder="1" applyAlignment="1">
      <alignment horizontal="left" vertical="center" wrapText="1" indent="2"/>
    </xf>
    <xf numFmtId="0" fontId="23" fillId="6" borderId="119" xfId="0" applyFont="1" applyFill="1" applyBorder="1" applyAlignment="1">
      <alignment horizontal="left" vertical="center" wrapText="1" indent="2"/>
    </xf>
    <xf numFmtId="0" fontId="32" fillId="6" borderId="120" xfId="5" applyFont="1" applyFill="1" applyBorder="1" applyAlignment="1">
      <alignment horizontal="center" vertical="center" wrapText="1"/>
    </xf>
    <xf numFmtId="0" fontId="23" fillId="0" borderId="44" xfId="2" applyFont="1" applyBorder="1"/>
    <xf numFmtId="0" fontId="23" fillId="0" borderId="121" xfId="2" applyFont="1" applyBorder="1"/>
    <xf numFmtId="0" fontId="23" fillId="6" borderId="42" xfId="2" applyFont="1" applyFill="1" applyBorder="1"/>
    <xf numFmtId="0" fontId="23" fillId="6" borderId="123" xfId="2" applyFont="1" applyFill="1" applyBorder="1"/>
    <xf numFmtId="0" fontId="23" fillId="0" borderId="123" xfId="2" applyFont="1" applyBorder="1"/>
    <xf numFmtId="0" fontId="23" fillId="0" borderId="124" xfId="2" applyFont="1" applyBorder="1"/>
    <xf numFmtId="1" fontId="23" fillId="0" borderId="123" xfId="2" applyNumberFormat="1" applyFont="1" applyBorder="1"/>
    <xf numFmtId="0" fontId="24" fillId="6" borderId="123" xfId="2" applyFont="1" applyFill="1" applyBorder="1"/>
    <xf numFmtId="0" fontId="24" fillId="6" borderId="41" xfId="2" applyFont="1" applyFill="1" applyBorder="1"/>
    <xf numFmtId="0" fontId="23" fillId="6" borderId="125" xfId="2" applyFont="1" applyFill="1" applyBorder="1"/>
    <xf numFmtId="0" fontId="20" fillId="0" borderId="122" xfId="2" applyFont="1" applyBorder="1"/>
    <xf numFmtId="0" fontId="23" fillId="6" borderId="126" xfId="2" applyFont="1" applyFill="1" applyBorder="1"/>
    <xf numFmtId="0" fontId="23" fillId="6" borderId="124" xfId="2" applyFont="1" applyFill="1" applyBorder="1"/>
    <xf numFmtId="0" fontId="23" fillId="0" borderId="127" xfId="2" applyFont="1" applyBorder="1"/>
    <xf numFmtId="0" fontId="23" fillId="6" borderId="128" xfId="2" applyFont="1" applyFill="1" applyBorder="1"/>
    <xf numFmtId="0" fontId="23" fillId="0" borderId="129" xfId="2" applyFont="1" applyBorder="1"/>
    <xf numFmtId="0" fontId="23" fillId="6" borderId="130" xfId="2" applyFont="1" applyFill="1" applyBorder="1"/>
    <xf numFmtId="0" fontId="23" fillId="6" borderId="121" xfId="2" applyFont="1" applyFill="1" applyBorder="1"/>
    <xf numFmtId="2" fontId="23" fillId="0" borderId="123" xfId="2" applyNumberFormat="1" applyFont="1" applyBorder="1"/>
    <xf numFmtId="2" fontId="23" fillId="0" borderId="41" xfId="2" applyNumberFormat="1" applyFont="1" applyBorder="1"/>
    <xf numFmtId="0" fontId="23" fillId="0" borderId="49" xfId="2" applyFont="1" applyBorder="1"/>
    <xf numFmtId="0" fontId="23" fillId="0" borderId="125" xfId="2" applyFont="1" applyBorder="1"/>
    <xf numFmtId="0" fontId="23" fillId="0" borderId="46" xfId="2" applyFont="1" applyBorder="1"/>
    <xf numFmtId="0" fontId="20" fillId="0" borderId="35" xfId="2" applyFont="1" applyBorder="1"/>
    <xf numFmtId="0" fontId="23" fillId="0" borderId="126" xfId="2" applyFont="1" applyBorder="1"/>
    <xf numFmtId="0" fontId="23" fillId="0" borderId="48" xfId="2" applyFont="1" applyBorder="1"/>
    <xf numFmtId="0" fontId="23" fillId="0" borderId="52" xfId="2" applyFont="1" applyBorder="1"/>
    <xf numFmtId="0" fontId="23" fillId="0" borderId="128" xfId="2" applyFont="1" applyBorder="1"/>
    <xf numFmtId="0" fontId="23" fillId="0" borderId="55" xfId="2" applyFont="1" applyBorder="1"/>
    <xf numFmtId="0" fontId="23" fillId="0" borderId="131" xfId="2" applyFont="1" applyBorder="1"/>
    <xf numFmtId="0" fontId="23" fillId="0" borderId="130" xfId="2" applyFont="1" applyBorder="1"/>
    <xf numFmtId="0" fontId="23" fillId="0" borderId="132" xfId="2" applyFont="1" applyBorder="1"/>
    <xf numFmtId="0" fontId="23" fillId="0" borderId="133" xfId="2" applyFont="1" applyBorder="1"/>
    <xf numFmtId="0" fontId="23" fillId="0" borderId="134" xfId="2" applyFont="1" applyBorder="1"/>
    <xf numFmtId="0" fontId="23" fillId="0" borderId="135" xfId="2" applyFont="1" applyBorder="1"/>
    <xf numFmtId="0" fontId="23" fillId="0" borderId="136" xfId="2" applyFont="1" applyBorder="1"/>
    <xf numFmtId="0" fontId="23" fillId="0" borderId="60" xfId="2" applyFont="1" applyBorder="1"/>
    <xf numFmtId="0" fontId="23" fillId="0" borderId="137" xfId="2" applyFont="1" applyBorder="1"/>
    <xf numFmtId="0" fontId="20" fillId="6" borderId="37" xfId="2" applyFont="1" applyFill="1" applyBorder="1"/>
    <xf numFmtId="0" fontId="23" fillId="6" borderId="50" xfId="2" applyFont="1" applyFill="1" applyBorder="1"/>
    <xf numFmtId="0" fontId="20" fillId="6" borderId="138" xfId="0" applyFont="1" applyFill="1" applyBorder="1" applyAlignment="1">
      <alignment horizontal="left" vertical="center" wrapText="1" indent="2"/>
    </xf>
    <xf numFmtId="0" fontId="20" fillId="6" borderId="118" xfId="0" applyFont="1" applyFill="1" applyBorder="1" applyAlignment="1">
      <alignment horizontal="left" vertical="center" wrapText="1" indent="2"/>
    </xf>
    <xf numFmtId="0" fontId="23" fillId="6" borderId="118" xfId="0" applyFont="1" applyFill="1" applyBorder="1" applyAlignment="1">
      <alignment horizontal="left" vertical="center" wrapText="1" indent="4"/>
    </xf>
    <xf numFmtId="0" fontId="23" fillId="6" borderId="118" xfId="0" applyFont="1" applyFill="1" applyBorder="1" applyAlignment="1">
      <alignment horizontal="left" vertical="center" wrapText="1" indent="6"/>
    </xf>
    <xf numFmtId="0" fontId="20" fillId="6" borderId="118" xfId="0" applyFont="1" applyFill="1" applyBorder="1" applyAlignment="1">
      <alignment horizontal="left" vertical="center" wrapText="1"/>
    </xf>
    <xf numFmtId="168" fontId="20" fillId="6" borderId="118" xfId="0" applyNumberFormat="1" applyFont="1" applyFill="1" applyBorder="1" applyAlignment="1">
      <alignment horizontal="left" indent="2"/>
    </xf>
    <xf numFmtId="168" fontId="23" fillId="6" borderId="118" xfId="0" applyNumberFormat="1" applyFont="1" applyFill="1" applyBorder="1" applyAlignment="1">
      <alignment horizontal="left" indent="4"/>
    </xf>
    <xf numFmtId="0" fontId="20" fillId="6" borderId="119" xfId="0" applyFont="1" applyFill="1" applyBorder="1" applyAlignment="1">
      <alignment horizontal="left" vertical="center" wrapText="1"/>
    </xf>
    <xf numFmtId="0" fontId="23" fillId="6" borderId="117" xfId="2" quotePrefix="1" applyFont="1" applyFill="1" applyBorder="1" applyAlignment="1">
      <alignment horizontal="center" vertical="center"/>
    </xf>
    <xf numFmtId="0" fontId="23" fillId="6" borderId="118" xfId="2" quotePrefix="1" applyFont="1" applyFill="1" applyBorder="1" applyAlignment="1">
      <alignment horizontal="center" vertical="center"/>
    </xf>
    <xf numFmtId="0" fontId="23" fillId="6" borderId="119" xfId="2" quotePrefix="1" applyFont="1" applyFill="1" applyBorder="1" applyAlignment="1">
      <alignment horizontal="center" vertical="center"/>
    </xf>
    <xf numFmtId="4" fontId="20" fillId="0" borderId="122" xfId="2" applyNumberFormat="1" applyFont="1" applyBorder="1"/>
    <xf numFmtId="4" fontId="20" fillId="6" borderId="35" xfId="2" applyNumberFormat="1" applyFont="1" applyFill="1" applyBorder="1"/>
    <xf numFmtId="4" fontId="20" fillId="0" borderId="38" xfId="2" applyNumberFormat="1" applyFont="1" applyBorder="1"/>
    <xf numFmtId="4" fontId="20" fillId="0" borderId="35" xfId="2" applyNumberFormat="1" applyFont="1" applyBorder="1"/>
    <xf numFmtId="4" fontId="23" fillId="6" borderId="123" xfId="2" applyNumberFormat="1" applyFont="1" applyFill="1" applyBorder="1"/>
    <xf numFmtId="4" fontId="23" fillId="6" borderId="41" xfId="2" applyNumberFormat="1" applyFont="1" applyFill="1" applyBorder="1"/>
    <xf numFmtId="4" fontId="23" fillId="0" borderId="123" xfId="2" applyNumberFormat="1" applyFont="1" applyBorder="1"/>
    <xf numFmtId="4" fontId="23" fillId="0" borderId="40" xfId="2" applyNumberFormat="1" applyFont="1" applyBorder="1"/>
    <xf numFmtId="4" fontId="23" fillId="0" borderId="41" xfId="2" applyNumberFormat="1" applyFont="1" applyBorder="1"/>
    <xf numFmtId="4" fontId="23" fillId="0" borderId="124" xfId="2" applyNumberFormat="1" applyFont="1" applyBorder="1"/>
    <xf numFmtId="4" fontId="23" fillId="6" borderId="49" xfId="2" applyNumberFormat="1" applyFont="1" applyFill="1" applyBorder="1"/>
    <xf numFmtId="4" fontId="23" fillId="0" borderId="43" xfId="2" applyNumberFormat="1" applyFont="1" applyBorder="1"/>
    <xf numFmtId="4" fontId="23" fillId="0" borderId="49" xfId="2" applyNumberFormat="1" applyFont="1" applyBorder="1"/>
    <xf numFmtId="0" fontId="23" fillId="10" borderId="84" xfId="2" quotePrefix="1" applyFont="1" applyFill="1" applyBorder="1" applyAlignment="1">
      <alignment horizontal="center" vertical="center"/>
    </xf>
    <xf numFmtId="0" fontId="23" fillId="10" borderId="85" xfId="2" applyFont="1" applyFill="1" applyBorder="1" applyAlignment="1">
      <alignment horizontal="left" vertical="center" wrapText="1" indent="2"/>
    </xf>
    <xf numFmtId="0" fontId="20" fillId="0" borderId="0" xfId="0" applyFont="1" applyAlignment="1">
      <alignment horizontal="right" vertical="center"/>
    </xf>
    <xf numFmtId="0" fontId="32" fillId="7" borderId="109" xfId="0" quotePrefix="1" applyFont="1" applyFill="1" applyBorder="1" applyAlignment="1">
      <alignment horizontal="center" vertical="center"/>
    </xf>
    <xf numFmtId="0" fontId="20" fillId="14" borderId="33" xfId="0" applyFont="1" applyFill="1" applyBorder="1" applyAlignment="1">
      <alignment horizontal="left" vertical="center" wrapText="1"/>
    </xf>
    <xf numFmtId="0" fontId="20" fillId="14" borderId="33" xfId="0" applyFont="1" applyFill="1" applyBorder="1" applyAlignment="1">
      <alignment horizontal="left" vertical="center" wrapText="1" indent="2"/>
    </xf>
    <xf numFmtId="0" fontId="20" fillId="14" borderId="84" xfId="0" applyFont="1" applyFill="1" applyBorder="1" applyAlignment="1">
      <alignment horizontal="left" vertical="center" wrapText="1" indent="2"/>
    </xf>
    <xf numFmtId="0" fontId="23" fillId="14" borderId="84" xfId="0" applyFont="1" applyFill="1" applyBorder="1" applyAlignment="1">
      <alignment horizontal="left" vertical="center" wrapText="1" indent="4"/>
    </xf>
    <xf numFmtId="0" fontId="20" fillId="14" borderId="145" xfId="0" applyFont="1" applyFill="1" applyBorder="1" applyAlignment="1">
      <alignment horizontal="left" vertical="center" wrapText="1"/>
    </xf>
    <xf numFmtId="0" fontId="20" fillId="14" borderId="84" xfId="0" applyFont="1" applyFill="1" applyBorder="1" applyAlignment="1">
      <alignment horizontal="left" vertical="center" wrapText="1"/>
    </xf>
    <xf numFmtId="168" fontId="20" fillId="14" borderId="84" xfId="0" applyNumberFormat="1" applyFont="1" applyFill="1" applyBorder="1" applyAlignment="1">
      <alignment horizontal="left" indent="2"/>
    </xf>
    <xf numFmtId="168" fontId="20" fillId="14" borderId="84" xfId="0" applyNumberFormat="1" applyFont="1" applyFill="1" applyBorder="1" applyAlignment="1">
      <alignment horizontal="left" wrapText="1" indent="2"/>
    </xf>
    <xf numFmtId="168" fontId="23" fillId="14" borderId="84" xfId="0" applyNumberFormat="1" applyFont="1" applyFill="1" applyBorder="1" applyAlignment="1">
      <alignment horizontal="left" indent="4"/>
    </xf>
    <xf numFmtId="0" fontId="32" fillId="14" borderId="33" xfId="0" applyFont="1" applyFill="1" applyBorder="1"/>
    <xf numFmtId="0" fontId="32" fillId="14" borderId="84" xfId="0" applyFont="1" applyFill="1" applyBorder="1"/>
    <xf numFmtId="0" fontId="23" fillId="14" borderId="146" xfId="0" applyFont="1" applyFill="1" applyBorder="1" applyAlignment="1">
      <alignment horizontal="left" vertical="center" wrapText="1" indent="4"/>
    </xf>
    <xf numFmtId="0" fontId="23" fillId="6" borderId="33" xfId="0" quotePrefix="1" applyFont="1" applyFill="1" applyBorder="1" applyAlignment="1">
      <alignment horizontal="center" vertical="center"/>
    </xf>
    <xf numFmtId="0" fontId="23" fillId="0" borderId="35" xfId="2" applyFont="1" applyBorder="1"/>
    <xf numFmtId="0" fontId="23" fillId="6" borderId="84" xfId="0" quotePrefix="1" applyFont="1" applyFill="1" applyBorder="1" applyAlignment="1">
      <alignment horizontal="center" vertical="center"/>
    </xf>
    <xf numFmtId="0" fontId="23" fillId="0" borderId="46" xfId="2" quotePrefix="1" applyFont="1" applyBorder="1"/>
    <xf numFmtId="0" fontId="23" fillId="6" borderId="33" xfId="0" quotePrefix="1" applyFont="1" applyFill="1" applyBorder="1" applyAlignment="1">
      <alignment horizontal="left" vertical="center"/>
    </xf>
    <xf numFmtId="0" fontId="23" fillId="0" borderId="49" xfId="2" quotePrefix="1" applyFont="1" applyBorder="1" applyAlignment="1">
      <alignment horizontal="left" vertical="center"/>
    </xf>
    <xf numFmtId="0" fontId="23" fillId="0" borderId="41" xfId="2" quotePrefix="1" applyFont="1" applyBorder="1" applyAlignment="1">
      <alignment horizontal="left" vertical="center"/>
    </xf>
    <xf numFmtId="0" fontId="23" fillId="6" borderId="84" xfId="0" quotePrefix="1" applyFont="1" applyFill="1" applyBorder="1" applyAlignment="1">
      <alignment horizontal="left" vertical="center"/>
    </xf>
    <xf numFmtId="0" fontId="23" fillId="0" borderId="41" xfId="2" applyFont="1" applyBorder="1" applyAlignment="1">
      <alignment horizontal="left" vertical="center"/>
    </xf>
    <xf numFmtId="0" fontId="23" fillId="6" borderId="114" xfId="0" quotePrefix="1" applyFont="1" applyFill="1" applyBorder="1" applyAlignment="1">
      <alignment horizontal="left" vertical="center"/>
    </xf>
    <xf numFmtId="0" fontId="23" fillId="0" borderId="62" xfId="2" applyFont="1" applyBorder="1" applyAlignment="1">
      <alignment horizontal="left" vertical="center"/>
    </xf>
    <xf numFmtId="0" fontId="23" fillId="0" borderId="37" xfId="2" applyFont="1" applyBorder="1"/>
    <xf numFmtId="0" fontId="23" fillId="0" borderId="39" xfId="2" applyFont="1" applyBorder="1" applyAlignment="1">
      <alignment horizontal="center"/>
    </xf>
    <xf numFmtId="0" fontId="23" fillId="0" borderId="39" xfId="2" quotePrefix="1" applyFont="1" applyBorder="1" applyAlignment="1">
      <alignment horizontal="left" vertical="center"/>
    </xf>
    <xf numFmtId="0" fontId="23" fillId="6" borderId="44" xfId="2" quotePrefix="1" applyFont="1" applyFill="1" applyBorder="1" applyAlignment="1">
      <alignment horizontal="left" vertical="center"/>
    </xf>
    <xf numFmtId="9" fontId="23" fillId="0" borderId="39" xfId="6" applyFont="1" applyBorder="1"/>
    <xf numFmtId="9" fontId="24" fillId="6" borderId="39" xfId="6" applyFont="1" applyFill="1" applyBorder="1"/>
    <xf numFmtId="9" fontId="23" fillId="6" borderId="39" xfId="6" applyFont="1" applyFill="1" applyBorder="1"/>
    <xf numFmtId="0" fontId="23" fillId="0" borderId="39" xfId="2" quotePrefix="1" applyFont="1" applyBorder="1"/>
    <xf numFmtId="0" fontId="23" fillId="0" borderId="44" xfId="2" quotePrefix="1" applyFont="1" applyBorder="1"/>
    <xf numFmtId="0" fontId="23" fillId="0" borderId="122" xfId="2" applyFont="1" applyBorder="1"/>
    <xf numFmtId="0" fontId="23" fillId="6" borderId="41" xfId="2" applyFont="1" applyFill="1" applyBorder="1" applyAlignment="1">
      <alignment horizontal="left" vertical="center"/>
    </xf>
    <xf numFmtId="9" fontId="23" fillId="0" borderId="41" xfId="6" applyFont="1" applyBorder="1"/>
    <xf numFmtId="9" fontId="23" fillId="6" borderId="41" xfId="6" applyFont="1" applyFill="1" applyBorder="1"/>
    <xf numFmtId="0" fontId="23" fillId="6" borderId="41" xfId="2" quotePrefix="1" applyFont="1" applyFill="1" applyBorder="1" applyAlignment="1">
      <alignment horizontal="left" vertical="center"/>
    </xf>
    <xf numFmtId="0" fontId="23" fillId="6" borderId="46" xfId="2" quotePrefix="1" applyFont="1" applyFill="1" applyBorder="1" applyAlignment="1">
      <alignment horizontal="left" vertical="center"/>
    </xf>
    <xf numFmtId="9" fontId="24" fillId="6" borderId="41" xfId="6" applyFont="1" applyFill="1" applyBorder="1"/>
    <xf numFmtId="0" fontId="23" fillId="0" borderId="125" xfId="2" quotePrefix="1" applyFont="1" applyBorder="1"/>
    <xf numFmtId="0" fontId="23" fillId="0" borderId="147" xfId="2" quotePrefix="1" applyFont="1" applyBorder="1"/>
    <xf numFmtId="0" fontId="23" fillId="0" borderId="61" xfId="2" quotePrefix="1" applyFont="1" applyBorder="1"/>
    <xf numFmtId="0" fontId="23" fillId="6" borderId="62" xfId="2" quotePrefix="1" applyFont="1" applyFill="1" applyBorder="1"/>
    <xf numFmtId="0" fontId="23" fillId="6" borderId="39" xfId="2" applyFont="1" applyFill="1" applyBorder="1" applyAlignment="1">
      <alignment horizontal="left" vertical="center"/>
    </xf>
    <xf numFmtId="0" fontId="23" fillId="6" borderId="60" xfId="2" applyFont="1" applyFill="1" applyBorder="1" applyAlignment="1">
      <alignment horizontal="left" vertical="center"/>
    </xf>
    <xf numFmtId="0" fontId="23" fillId="0" borderId="148" xfId="2" applyFont="1" applyBorder="1"/>
    <xf numFmtId="0" fontId="23" fillId="6" borderId="149" xfId="2" quotePrefix="1" applyFont="1" applyFill="1" applyBorder="1" applyAlignment="1">
      <alignment horizontal="left" vertical="center"/>
    </xf>
    <xf numFmtId="0" fontId="23" fillId="6" borderId="150" xfId="2" quotePrefix="1" applyFont="1" applyFill="1" applyBorder="1" applyAlignment="1">
      <alignment horizontal="left" vertical="center"/>
    </xf>
    <xf numFmtId="0" fontId="23" fillId="0" borderId="147" xfId="2" applyFont="1" applyBorder="1"/>
    <xf numFmtId="0" fontId="23" fillId="6" borderId="62" xfId="2" applyFont="1" applyFill="1" applyBorder="1" applyAlignment="1">
      <alignment horizontal="left" vertical="center"/>
    </xf>
    <xf numFmtId="0" fontId="23" fillId="0" borderId="41" xfId="2" applyFont="1" applyBorder="1" applyAlignment="1">
      <alignment horizontal="center"/>
    </xf>
    <xf numFmtId="0" fontId="23" fillId="6" borderId="41" xfId="2" applyFont="1" applyFill="1" applyBorder="1" applyAlignment="1">
      <alignment horizontal="center"/>
    </xf>
    <xf numFmtId="0" fontId="23" fillId="0" borderId="123" xfId="2" applyFont="1" applyBorder="1" applyAlignment="1">
      <alignment horizontal="center"/>
    </xf>
    <xf numFmtId="0" fontId="23" fillId="0" borderId="123" xfId="2" quotePrefix="1" applyFont="1" applyBorder="1" applyAlignment="1">
      <alignment horizontal="left" vertical="center"/>
    </xf>
    <xf numFmtId="0" fontId="23" fillId="6" borderId="123" xfId="2" quotePrefix="1" applyFont="1" applyFill="1" applyBorder="1" applyAlignment="1">
      <alignment horizontal="left" vertical="center"/>
    </xf>
    <xf numFmtId="0" fontId="23" fillId="6" borderId="125" xfId="2" quotePrefix="1" applyFont="1" applyFill="1" applyBorder="1" applyAlignment="1">
      <alignment horizontal="left" vertical="center"/>
    </xf>
    <xf numFmtId="0" fontId="23" fillId="0" borderId="41" xfId="2" quotePrefix="1" applyFont="1" applyBorder="1"/>
    <xf numFmtId="0" fontId="23" fillId="6" borderId="41" xfId="2" quotePrefix="1" applyFont="1" applyFill="1" applyBorder="1"/>
    <xf numFmtId="9" fontId="23" fillId="0" borderId="123" xfId="6" applyFont="1" applyBorder="1"/>
    <xf numFmtId="9" fontId="24" fillId="6" borderId="123" xfId="6" applyFont="1" applyFill="1" applyBorder="1"/>
    <xf numFmtId="0" fontId="24" fillId="6" borderId="41" xfId="2" quotePrefix="1" applyFont="1" applyFill="1" applyBorder="1" applyAlignment="1">
      <alignment horizontal="left" vertical="center"/>
    </xf>
    <xf numFmtId="9" fontId="23" fillId="6" borderId="123" xfId="6" applyFont="1" applyFill="1" applyBorder="1"/>
    <xf numFmtId="0" fontId="23" fillId="0" borderId="123" xfId="2" quotePrefix="1" applyFont="1" applyBorder="1"/>
    <xf numFmtId="0" fontId="23" fillId="0" borderId="62" xfId="2" quotePrefix="1" applyFont="1" applyBorder="1"/>
    <xf numFmtId="0" fontId="23" fillId="6" borderId="148" xfId="2" quotePrefix="1" applyFont="1" applyFill="1" applyBorder="1" applyAlignment="1">
      <alignment horizontal="left" vertical="center"/>
    </xf>
    <xf numFmtId="0" fontId="23" fillId="6" borderId="123" xfId="2" applyFont="1" applyFill="1" applyBorder="1" applyAlignment="1">
      <alignment horizontal="left" vertical="center"/>
    </xf>
    <xf numFmtId="0" fontId="23" fillId="6" borderId="147" xfId="2" applyFont="1" applyFill="1" applyBorder="1" applyAlignment="1">
      <alignment horizontal="left" vertical="center"/>
    </xf>
    <xf numFmtId="0" fontId="23" fillId="0" borderId="48" xfId="2" quotePrefix="1" applyFont="1" applyBorder="1" applyAlignment="1">
      <alignment horizontal="left" vertical="center"/>
    </xf>
    <xf numFmtId="3" fontId="23" fillId="0" borderId="123" xfId="2" applyNumberFormat="1" applyFont="1" applyBorder="1"/>
    <xf numFmtId="3" fontId="23" fillId="0" borderId="125" xfId="2" applyNumberFormat="1" applyFont="1" applyBorder="1"/>
    <xf numFmtId="0" fontId="24" fillId="6" borderId="41" xfId="2" quotePrefix="1" applyFont="1" applyFill="1" applyBorder="1"/>
    <xf numFmtId="0" fontId="23" fillId="0" borderId="46" xfId="2" quotePrefix="1" applyFont="1" applyBorder="1" applyAlignment="1">
      <alignment horizontal="left" vertical="center"/>
    </xf>
    <xf numFmtId="0" fontId="23" fillId="0" borderId="61" xfId="2" quotePrefix="1" applyFont="1" applyBorder="1" applyAlignment="1">
      <alignment horizontal="left" vertical="center"/>
    </xf>
    <xf numFmtId="0" fontId="23" fillId="0" borderId="62" xfId="2" quotePrefix="1" applyFont="1" applyBorder="1" applyAlignment="1">
      <alignment horizontal="left" vertical="center"/>
    </xf>
    <xf numFmtId="0" fontId="23" fillId="0" borderId="148" xfId="2" quotePrefix="1" applyFont="1" applyBorder="1" applyAlignment="1">
      <alignment horizontal="left" vertical="center"/>
    </xf>
    <xf numFmtId="0" fontId="23" fillId="0" borderId="149" xfId="2" quotePrefix="1" applyFont="1" applyBorder="1" applyAlignment="1">
      <alignment horizontal="left" vertical="center"/>
    </xf>
    <xf numFmtId="0" fontId="23" fillId="0" borderId="149" xfId="2" applyFont="1" applyBorder="1"/>
    <xf numFmtId="0" fontId="23" fillId="0" borderId="150" xfId="2" applyFont="1" applyBorder="1"/>
    <xf numFmtId="0" fontId="23" fillId="0" borderId="123" xfId="2" applyFont="1" applyBorder="1" applyAlignment="1">
      <alignment horizontal="left" vertical="center"/>
    </xf>
    <xf numFmtId="0" fontId="23" fillId="0" borderId="67" xfId="2" applyFont="1" applyBorder="1"/>
    <xf numFmtId="0" fontId="23" fillId="0" borderId="69" xfId="2" applyFont="1" applyBorder="1" applyAlignment="1">
      <alignment horizontal="center"/>
    </xf>
    <xf numFmtId="0" fontId="23" fillId="6" borderId="69" xfId="2" applyFont="1" applyFill="1" applyBorder="1" applyAlignment="1">
      <alignment horizontal="center"/>
    </xf>
    <xf numFmtId="0" fontId="23" fillId="6" borderId="70" xfId="2" quotePrefix="1" applyFont="1" applyFill="1" applyBorder="1" applyAlignment="1">
      <alignment horizontal="left" vertical="center"/>
    </xf>
    <xf numFmtId="0" fontId="23" fillId="6" borderId="69" xfId="2" quotePrefix="1" applyFont="1" applyFill="1" applyBorder="1"/>
    <xf numFmtId="0" fontId="24" fillId="6" borderId="69" xfId="2" quotePrefix="1" applyFont="1" applyFill="1" applyBorder="1" applyAlignment="1">
      <alignment horizontal="left" vertical="center"/>
    </xf>
    <xf numFmtId="0" fontId="23" fillId="6" borderId="69" xfId="2" applyFont="1" applyFill="1" applyBorder="1" applyAlignment="1">
      <alignment horizontal="left" vertical="center"/>
    </xf>
    <xf numFmtId="0" fontId="23" fillId="0" borderId="70" xfId="2" quotePrefix="1" applyFont="1" applyBorder="1"/>
    <xf numFmtId="0" fontId="23" fillId="6" borderId="71" xfId="2" applyFont="1" applyFill="1" applyBorder="1" applyAlignment="1">
      <alignment horizontal="left" vertical="center"/>
    </xf>
    <xf numFmtId="0" fontId="23" fillId="0" borderId="150" xfId="2" quotePrefix="1" applyFont="1" applyBorder="1" applyAlignment="1">
      <alignment horizontal="left" vertical="center"/>
    </xf>
    <xf numFmtId="0" fontId="23" fillId="0" borderId="151" xfId="2" applyFont="1" applyBorder="1"/>
    <xf numFmtId="0" fontId="23" fillId="0" borderId="152" xfId="2" applyFont="1" applyBorder="1"/>
    <xf numFmtId="0" fontId="23" fillId="0" borderId="153" xfId="2" applyFont="1" applyBorder="1"/>
    <xf numFmtId="0" fontId="23" fillId="0" borderId="152" xfId="2" quotePrefix="1" applyFont="1" applyBorder="1" applyAlignment="1">
      <alignment horizontal="left" vertical="center"/>
    </xf>
    <xf numFmtId="0" fontId="23" fillId="0" borderId="153" xfId="2" quotePrefix="1" applyFont="1" applyBorder="1" applyAlignment="1">
      <alignment horizontal="left" vertical="center"/>
    </xf>
    <xf numFmtId="0" fontId="23" fillId="0" borderId="154" xfId="2" applyFont="1" applyBorder="1"/>
    <xf numFmtId="0" fontId="23" fillId="0" borderId="155" xfId="2" applyFont="1" applyBorder="1"/>
    <xf numFmtId="0" fontId="23" fillId="7" borderId="102" xfId="0" quotePrefix="1" applyFont="1" applyFill="1" applyBorder="1" applyAlignment="1">
      <alignment horizontal="center" vertical="center" wrapText="1"/>
    </xf>
    <xf numFmtId="0" fontId="23" fillId="7" borderId="142" xfId="0" quotePrefix="1" applyFont="1" applyFill="1" applyBorder="1" applyAlignment="1">
      <alignment horizontal="center" vertical="center" wrapText="1"/>
    </xf>
    <xf numFmtId="0" fontId="23" fillId="7" borderId="143" xfId="0" quotePrefix="1" applyFont="1" applyFill="1" applyBorder="1" applyAlignment="1">
      <alignment horizontal="center" vertical="center" wrapText="1"/>
    </xf>
    <xf numFmtId="0" fontId="23" fillId="7" borderId="27" xfId="0" quotePrefix="1" applyFont="1" applyFill="1" applyBorder="1" applyAlignment="1">
      <alignment horizontal="center" vertical="center" wrapText="1"/>
    </xf>
    <xf numFmtId="0" fontId="23" fillId="7" borderId="28" xfId="0" quotePrefix="1" applyFont="1" applyFill="1" applyBorder="1" applyAlignment="1">
      <alignment horizontal="center" vertical="center" wrapText="1"/>
    </xf>
    <xf numFmtId="3" fontId="20" fillId="0" borderId="122" xfId="2" applyNumberFormat="1" applyFont="1" applyBorder="1"/>
    <xf numFmtId="0" fontId="33" fillId="6" borderId="33" xfId="0" quotePrefix="1" applyFont="1" applyFill="1" applyBorder="1" applyAlignment="1">
      <alignment horizontal="center" vertical="center"/>
    </xf>
    <xf numFmtId="0" fontId="2" fillId="10" borderId="86" xfId="0" applyFont="1" applyFill="1" applyBorder="1" applyAlignment="1">
      <alignment horizontal="left" vertical="center"/>
    </xf>
    <xf numFmtId="0" fontId="2" fillId="15" borderId="7" xfId="0" applyFont="1" applyFill="1" applyBorder="1" applyAlignment="1">
      <alignment horizontal="center" vertical="center"/>
    </xf>
    <xf numFmtId="0" fontId="2" fillId="4" borderId="91" xfId="0" applyFont="1" applyFill="1" applyBorder="1" applyAlignment="1">
      <alignment vertical="center"/>
    </xf>
    <xf numFmtId="0" fontId="2" fillId="16" borderId="8" xfId="0" applyFont="1" applyFill="1" applyBorder="1" applyAlignment="1">
      <alignment vertical="center"/>
    </xf>
    <xf numFmtId="0" fontId="10" fillId="17" borderId="8" xfId="0" applyFont="1" applyFill="1" applyBorder="1" applyAlignment="1">
      <alignment vertical="center"/>
    </xf>
    <xf numFmtId="0" fontId="10" fillId="17" borderId="11" xfId="0" applyFont="1" applyFill="1" applyBorder="1" applyAlignment="1">
      <alignment vertical="center"/>
    </xf>
    <xf numFmtId="0" fontId="10" fillId="12" borderId="2" xfId="0" applyFont="1" applyFill="1" applyBorder="1" applyAlignment="1">
      <alignment horizontal="center" vertical="center"/>
    </xf>
    <xf numFmtId="0" fontId="2" fillId="12" borderId="4" xfId="0" applyFont="1" applyFill="1" applyBorder="1" applyAlignment="1">
      <alignment horizontal="center" vertical="center"/>
    </xf>
    <xf numFmtId="0" fontId="2" fillId="12" borderId="5" xfId="0" applyFont="1" applyFill="1" applyBorder="1" applyAlignment="1">
      <alignment horizontal="center" vertical="center"/>
    </xf>
    <xf numFmtId="0" fontId="2" fillId="12" borderId="6" xfId="0" applyFont="1" applyFill="1" applyBorder="1" applyAlignment="1">
      <alignment horizontal="center" vertical="center"/>
    </xf>
    <xf numFmtId="0" fontId="2" fillId="18" borderId="8" xfId="0" applyFont="1" applyFill="1" applyBorder="1" applyAlignment="1">
      <alignment vertical="center"/>
    </xf>
    <xf numFmtId="0" fontId="2" fillId="18" borderId="11" xfId="0" applyFont="1" applyFill="1" applyBorder="1" applyAlignment="1">
      <alignment vertical="center"/>
    </xf>
    <xf numFmtId="0" fontId="10" fillId="12" borderId="95" xfId="0" applyFont="1" applyFill="1" applyBorder="1" applyAlignment="1">
      <alignment horizontal="center" vertical="center"/>
    </xf>
    <xf numFmtId="165" fontId="2" fillId="2" borderId="156" xfId="0" applyNumberFormat="1" applyFont="1" applyFill="1" applyBorder="1" applyAlignment="1">
      <alignment vertical="center"/>
    </xf>
    <xf numFmtId="3" fontId="2" fillId="2" borderId="87" xfId="1" applyNumberFormat="1" applyFont="1" applyFill="1" applyBorder="1" applyAlignment="1">
      <alignment vertical="center"/>
    </xf>
    <xf numFmtId="3" fontId="2" fillId="2" borderId="157" xfId="1" applyNumberFormat="1" applyFont="1" applyFill="1" applyBorder="1" applyAlignment="1">
      <alignment vertical="center"/>
    </xf>
    <xf numFmtId="3" fontId="2" fillId="2" borderId="98" xfId="1" applyNumberFormat="1" applyFont="1" applyFill="1" applyBorder="1" applyAlignment="1">
      <alignment vertical="center"/>
    </xf>
    <xf numFmtId="0" fontId="2" fillId="16" borderId="91" xfId="0" applyFont="1" applyFill="1" applyBorder="1" applyAlignment="1">
      <alignment vertical="center"/>
    </xf>
    <xf numFmtId="0" fontId="2" fillId="18" borderId="91" xfId="0" applyFont="1" applyFill="1" applyBorder="1" applyAlignment="1">
      <alignment vertical="center"/>
    </xf>
    <xf numFmtId="0" fontId="2" fillId="18" borderId="93" xfId="0" applyFont="1" applyFill="1" applyBorder="1" applyAlignment="1">
      <alignment vertical="center"/>
    </xf>
    <xf numFmtId="0" fontId="36" fillId="9" borderId="86" xfId="0" applyFont="1" applyFill="1" applyBorder="1" applyAlignment="1">
      <alignment horizontal="center" vertical="center"/>
    </xf>
    <xf numFmtId="0" fontId="2" fillId="10" borderId="2" xfId="0" applyFont="1" applyFill="1" applyBorder="1" applyAlignment="1">
      <alignment horizontal="left" vertical="center"/>
    </xf>
    <xf numFmtId="0" fontId="2" fillId="10" borderId="2" xfId="0" applyFont="1" applyFill="1" applyBorder="1" applyAlignment="1">
      <alignment horizontal="right" vertical="center"/>
    </xf>
    <xf numFmtId="0" fontId="2" fillId="10" borderId="4" xfId="0" applyFont="1" applyFill="1" applyBorder="1" applyAlignment="1">
      <alignment horizontal="left" vertical="center"/>
    </xf>
    <xf numFmtId="0" fontId="10" fillId="10" borderId="2" xfId="0" applyFont="1" applyFill="1" applyBorder="1" applyAlignment="1">
      <alignment horizontal="left" vertical="center"/>
    </xf>
    <xf numFmtId="2" fontId="10" fillId="10" borderId="2" xfId="0" applyNumberFormat="1" applyFont="1" applyFill="1" applyBorder="1" applyAlignment="1">
      <alignment horizontal="right" vertical="center"/>
    </xf>
    <xf numFmtId="0" fontId="10" fillId="10" borderId="4" xfId="0" applyFont="1" applyFill="1" applyBorder="1" applyAlignment="1">
      <alignment horizontal="left" vertical="center"/>
    </xf>
    <xf numFmtId="0" fontId="36" fillId="9" borderId="92" xfId="0" applyFont="1" applyFill="1" applyBorder="1" applyAlignment="1">
      <alignment horizontal="center" vertical="center"/>
    </xf>
    <xf numFmtId="0" fontId="4" fillId="10" borderId="95" xfId="0" applyFont="1" applyFill="1" applyBorder="1" applyAlignment="1">
      <alignment horizontal="center" vertical="center"/>
    </xf>
    <xf numFmtId="2" fontId="2" fillId="2" borderId="94" xfId="0" applyNumberFormat="1" applyFont="1" applyFill="1" applyBorder="1"/>
    <xf numFmtId="2" fontId="2" fillId="2" borderId="88" xfId="0" applyNumberFormat="1" applyFont="1" applyFill="1" applyBorder="1"/>
    <xf numFmtId="2" fontId="2" fillId="2" borderId="96" xfId="0" applyNumberFormat="1" applyFont="1" applyFill="1" applyBorder="1"/>
    <xf numFmtId="0" fontId="4" fillId="10" borderId="92" xfId="0" applyFont="1" applyFill="1" applyBorder="1" applyAlignment="1">
      <alignment horizontal="center" vertical="center"/>
    </xf>
    <xf numFmtId="2" fontId="2" fillId="0" borderId="86" xfId="0" applyNumberFormat="1" applyFont="1" applyBorder="1"/>
    <xf numFmtId="2" fontId="2" fillId="2" borderId="91" xfId="0" applyNumberFormat="1" applyFont="1" applyFill="1" applyBorder="1"/>
    <xf numFmtId="2" fontId="2" fillId="2" borderId="93" xfId="0" applyNumberFormat="1" applyFont="1" applyFill="1" applyBorder="1"/>
    <xf numFmtId="0" fontId="4" fillId="10" borderId="99" xfId="0" applyFont="1" applyFill="1" applyBorder="1" applyAlignment="1">
      <alignment horizontal="center" vertical="center"/>
    </xf>
    <xf numFmtId="2" fontId="2" fillId="0" borderId="89" xfId="0" applyNumberFormat="1" applyFont="1" applyBorder="1"/>
    <xf numFmtId="2" fontId="2" fillId="2" borderId="0" xfId="0" applyNumberFormat="1" applyFont="1" applyFill="1"/>
    <xf numFmtId="2" fontId="2" fillId="2" borderId="97" xfId="0" applyNumberFormat="1" applyFont="1" applyFill="1" applyBorder="1"/>
    <xf numFmtId="0" fontId="4" fillId="10" borderId="100" xfId="0" applyFont="1" applyFill="1" applyBorder="1" applyAlignment="1">
      <alignment horizontal="center" vertical="center"/>
    </xf>
    <xf numFmtId="2" fontId="2" fillId="0" borderId="90" xfId="0" applyNumberFormat="1" applyFont="1" applyBorder="1"/>
    <xf numFmtId="2" fontId="2" fillId="2" borderId="87" xfId="0" applyNumberFormat="1" applyFont="1" applyFill="1" applyBorder="1"/>
    <xf numFmtId="2" fontId="2" fillId="2" borderId="98" xfId="0" applyNumberFormat="1" applyFont="1" applyFill="1" applyBorder="1"/>
    <xf numFmtId="0" fontId="2" fillId="0" borderId="2" xfId="0" applyFont="1" applyBorder="1" applyAlignment="1">
      <alignment horizontal="left" vertical="center"/>
    </xf>
    <xf numFmtId="0" fontId="4" fillId="11" borderId="86" xfId="0" applyFont="1" applyFill="1" applyBorder="1" applyAlignment="1">
      <alignment horizontal="center" vertical="center"/>
    </xf>
    <xf numFmtId="0" fontId="10" fillId="0" borderId="86" xfId="0" applyFont="1" applyBorder="1" applyAlignment="1">
      <alignment vertical="center"/>
    </xf>
    <xf numFmtId="0" fontId="4" fillId="10" borderId="160" xfId="0" applyFont="1" applyFill="1" applyBorder="1" applyAlignment="1">
      <alignment horizontal="left" vertical="center"/>
    </xf>
    <xf numFmtId="0" fontId="4" fillId="10" borderId="86" xfId="0" applyFont="1" applyFill="1" applyBorder="1" applyAlignment="1">
      <alignment horizontal="left" vertical="center"/>
    </xf>
    <xf numFmtId="0" fontId="35" fillId="12" borderId="95" xfId="0" applyFont="1" applyFill="1" applyBorder="1" applyAlignment="1">
      <alignment horizontal="center" vertical="center"/>
    </xf>
    <xf numFmtId="0" fontId="2" fillId="10" borderId="21" xfId="0" applyFont="1" applyFill="1" applyBorder="1" applyAlignment="1">
      <alignment horizontal="left" vertical="center"/>
    </xf>
    <xf numFmtId="2" fontId="2" fillId="10" borderId="72" xfId="0" applyNumberFormat="1" applyFont="1" applyFill="1" applyBorder="1" applyAlignment="1">
      <alignment horizontal="right" vertical="center"/>
    </xf>
    <xf numFmtId="2" fontId="2" fillId="10" borderId="73" xfId="0" applyNumberFormat="1" applyFont="1" applyFill="1" applyBorder="1" applyAlignment="1">
      <alignment horizontal="right" vertical="center"/>
    </xf>
    <xf numFmtId="2" fontId="2" fillId="10" borderId="21" xfId="0" applyNumberFormat="1" applyFont="1" applyFill="1" applyBorder="1" applyAlignment="1">
      <alignment vertical="center"/>
    </xf>
    <xf numFmtId="0" fontId="2" fillId="10" borderId="5" xfId="0" applyFont="1" applyFill="1" applyBorder="1" applyAlignment="1">
      <alignment horizontal="left" vertical="center"/>
    </xf>
    <xf numFmtId="0" fontId="37" fillId="10" borderId="86" xfId="0" applyFont="1" applyFill="1" applyBorder="1" applyAlignment="1">
      <alignment horizontal="left" vertical="center"/>
    </xf>
    <xf numFmtId="0" fontId="2" fillId="17" borderId="7" xfId="0" applyFont="1" applyFill="1" applyBorder="1" applyAlignment="1">
      <alignment horizontal="center" vertical="center" wrapText="1"/>
    </xf>
    <xf numFmtId="43" fontId="2" fillId="17" borderId="4" xfId="7" applyFont="1" applyFill="1" applyBorder="1" applyAlignment="1">
      <alignment horizontal="left" vertical="center"/>
    </xf>
    <xf numFmtId="43" fontId="2" fillId="17" borderId="21" xfId="7" applyFont="1" applyFill="1" applyBorder="1" applyAlignment="1">
      <alignment horizontal="left" vertical="center"/>
    </xf>
    <xf numFmtId="2" fontId="2" fillId="19" borderId="4" xfId="0" applyNumberFormat="1" applyFont="1" applyFill="1" applyBorder="1" applyAlignment="1">
      <alignment horizontal="right" vertical="center"/>
    </xf>
    <xf numFmtId="0" fontId="4" fillId="10" borderId="86" xfId="0" applyFont="1" applyFill="1" applyBorder="1" applyAlignment="1">
      <alignment horizontal="center" vertical="center"/>
    </xf>
    <xf numFmtId="2" fontId="2" fillId="2" borderId="86" xfId="0" applyNumberFormat="1" applyFont="1" applyFill="1" applyBorder="1"/>
    <xf numFmtId="0" fontId="2" fillId="3" borderId="95" xfId="0" applyFont="1" applyFill="1" applyBorder="1" applyAlignment="1">
      <alignment vertical="center"/>
    </xf>
    <xf numFmtId="0" fontId="2" fillId="3" borderId="88" xfId="0" applyFont="1" applyFill="1" applyBorder="1" applyAlignment="1">
      <alignment vertical="center"/>
    </xf>
    <xf numFmtId="0" fontId="2" fillId="4" borderId="88" xfId="0" applyFont="1" applyFill="1" applyBorder="1" applyAlignment="1">
      <alignment vertical="center"/>
    </xf>
    <xf numFmtId="0" fontId="2" fillId="5" borderId="88" xfId="0" applyFont="1" applyFill="1" applyBorder="1" applyAlignment="1">
      <alignment vertical="center"/>
    </xf>
    <xf numFmtId="0" fontId="2" fillId="5" borderId="96" xfId="0" applyFont="1" applyFill="1" applyBorder="1" applyAlignment="1">
      <alignment vertical="center"/>
    </xf>
    <xf numFmtId="2" fontId="2" fillId="2" borderId="92" xfId="0" applyNumberFormat="1" applyFont="1" applyFill="1" applyBorder="1"/>
    <xf numFmtId="2" fontId="2" fillId="2" borderId="99" xfId="0" applyNumberFormat="1" applyFont="1" applyFill="1" applyBorder="1"/>
    <xf numFmtId="2" fontId="2" fillId="0" borderId="99" xfId="0" applyNumberFormat="1" applyFont="1" applyBorder="1"/>
    <xf numFmtId="2" fontId="2" fillId="0" borderId="97" xfId="0" applyNumberFormat="1" applyFont="1" applyBorder="1"/>
    <xf numFmtId="0" fontId="10" fillId="12" borderId="8"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12" xfId="0" applyFont="1" applyFill="1" applyBorder="1" applyAlignment="1">
      <alignment horizontal="center" vertical="center"/>
    </xf>
    <xf numFmtId="0" fontId="2" fillId="15" borderId="86" xfId="0" applyFont="1" applyFill="1" applyBorder="1" applyAlignment="1">
      <alignment horizontal="center" vertical="center"/>
    </xf>
    <xf numFmtId="167" fontId="2" fillId="2" borderId="86" xfId="0" applyNumberFormat="1" applyFont="1" applyFill="1" applyBorder="1" applyAlignment="1">
      <alignment horizontal="center" vertical="center"/>
    </xf>
    <xf numFmtId="2" fontId="2" fillId="2" borderId="86" xfId="0" applyNumberFormat="1" applyFont="1" applyFill="1" applyBorder="1" applyAlignment="1">
      <alignment horizontal="center" vertical="center"/>
    </xf>
    <xf numFmtId="0" fontId="17" fillId="6" borderId="22" xfId="3" applyFont="1" applyFill="1" applyBorder="1" applyAlignment="1">
      <alignment vertical="center"/>
    </xf>
    <xf numFmtId="0" fontId="17" fillId="6" borderId="23" xfId="3" applyFont="1" applyFill="1" applyBorder="1" applyAlignment="1">
      <alignment vertical="center"/>
    </xf>
    <xf numFmtId="0" fontId="17" fillId="6" borderId="24" xfId="3" applyFont="1" applyFill="1" applyBorder="1" applyAlignment="1">
      <alignment vertical="center"/>
    </xf>
    <xf numFmtId="0" fontId="39" fillId="0" borderId="0" xfId="0" applyFont="1"/>
    <xf numFmtId="0" fontId="41" fillId="10" borderId="77" xfId="0" applyFont="1" applyFill="1" applyBorder="1"/>
    <xf numFmtId="0" fontId="42" fillId="0" borderId="78" xfId="0" applyFont="1" applyBorder="1" applyAlignment="1">
      <alignment horizontal="center"/>
    </xf>
    <xf numFmtId="2" fontId="2" fillId="2" borderId="89" xfId="0" applyNumberFormat="1" applyFont="1" applyFill="1" applyBorder="1" applyAlignment="1">
      <alignment horizontal="right" vertical="center"/>
    </xf>
    <xf numFmtId="0" fontId="42" fillId="0" borderId="79" xfId="0" applyFont="1" applyBorder="1" applyAlignment="1">
      <alignment horizontal="center"/>
    </xf>
    <xf numFmtId="0" fontId="28" fillId="9" borderId="76" xfId="0" applyFont="1" applyFill="1" applyBorder="1" applyAlignment="1">
      <alignment horizontal="center" wrapText="1"/>
    </xf>
    <xf numFmtId="0" fontId="28" fillId="9" borderId="75" xfId="0" applyFont="1" applyFill="1" applyBorder="1" applyAlignment="1">
      <alignment horizontal="center" vertical="center"/>
    </xf>
    <xf numFmtId="0" fontId="44" fillId="0" borderId="0" xfId="0" applyFont="1" applyAlignment="1">
      <alignment horizontal="left" vertical="center"/>
    </xf>
    <xf numFmtId="1" fontId="10" fillId="2" borderId="8" xfId="1" applyNumberFormat="1" applyFont="1" applyFill="1" applyBorder="1" applyAlignment="1">
      <alignment vertical="center"/>
    </xf>
    <xf numFmtId="1" fontId="10" fillId="2" borderId="7" xfId="0" applyNumberFormat="1" applyFont="1" applyFill="1" applyBorder="1" applyAlignment="1">
      <alignment vertical="center"/>
    </xf>
    <xf numFmtId="1" fontId="10" fillId="2" borderId="10" xfId="0" applyNumberFormat="1" applyFont="1" applyFill="1" applyBorder="1" applyAlignment="1">
      <alignment vertical="center"/>
    </xf>
    <xf numFmtId="1" fontId="10" fillId="2" borderId="11" xfId="0" applyNumberFormat="1" applyFont="1" applyFill="1" applyBorder="1" applyAlignment="1">
      <alignment vertical="center"/>
    </xf>
    <xf numFmtId="1" fontId="10" fillId="2" borderId="17" xfId="0" applyNumberFormat="1" applyFont="1" applyFill="1" applyBorder="1" applyAlignment="1">
      <alignment vertical="center"/>
    </xf>
    <xf numFmtId="165" fontId="10" fillId="2" borderId="21" xfId="0" applyNumberFormat="1" applyFont="1" applyFill="1" applyBorder="1" applyAlignment="1">
      <alignment vertical="center"/>
    </xf>
    <xf numFmtId="165" fontId="10" fillId="2" borderId="0" xfId="0" applyNumberFormat="1" applyFont="1" applyFill="1" applyAlignment="1">
      <alignment vertical="center"/>
    </xf>
    <xf numFmtId="165" fontId="10" fillId="2" borderId="12" xfId="0" applyNumberFormat="1" applyFont="1" applyFill="1" applyBorder="1" applyAlignment="1">
      <alignment vertical="center"/>
    </xf>
    <xf numFmtId="0" fontId="45" fillId="0" borderId="0" xfId="0" applyFont="1" applyAlignment="1">
      <alignment horizontal="right" vertical="center"/>
    </xf>
    <xf numFmtId="0" fontId="46" fillId="0" borderId="0" xfId="0" applyFont="1" applyAlignment="1">
      <alignment horizontal="left" vertical="center"/>
    </xf>
    <xf numFmtId="2" fontId="23" fillId="0" borderId="40" xfId="2" applyNumberFormat="1" applyFont="1" applyBorder="1" applyAlignment="1">
      <alignment horizontal="center"/>
    </xf>
    <xf numFmtId="0" fontId="23" fillId="8" borderId="85" xfId="2" applyFont="1" applyFill="1" applyBorder="1" applyAlignment="1">
      <alignment horizontal="left" vertical="center" wrapText="1" indent="2"/>
    </xf>
    <xf numFmtId="0" fontId="23" fillId="8" borderId="84" xfId="2" quotePrefix="1" applyFont="1" applyFill="1" applyBorder="1" applyAlignment="1">
      <alignment horizontal="center" vertical="center"/>
    </xf>
    <xf numFmtId="166" fontId="2" fillId="14" borderId="0" xfId="0" applyNumberFormat="1" applyFont="1" applyFill="1"/>
    <xf numFmtId="0" fontId="8" fillId="2" borderId="0" xfId="0" applyFont="1" applyFill="1" applyAlignment="1">
      <alignment horizontal="center"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9" fillId="11" borderId="89" xfId="0" applyFont="1" applyFill="1" applyBorder="1" applyAlignment="1">
      <alignment horizontal="center" vertical="center"/>
    </xf>
    <xf numFmtId="0" fontId="29" fillId="11" borderId="90" xfId="0" applyFont="1" applyFill="1" applyBorder="1" applyAlignment="1">
      <alignment horizontal="center" vertical="center"/>
    </xf>
    <xf numFmtId="0" fontId="29" fillId="11" borderId="94" xfId="0" applyFont="1" applyFill="1" applyBorder="1" applyAlignment="1">
      <alignment horizontal="center" vertical="center"/>
    </xf>
    <xf numFmtId="0" fontId="6" fillId="12" borderId="94" xfId="0" applyFont="1" applyFill="1" applyBorder="1" applyAlignment="1">
      <alignment horizontal="center" vertical="center"/>
    </xf>
    <xf numFmtId="0" fontId="6" fillId="12" borderId="90" xfId="0" applyFont="1" applyFill="1" applyBorder="1" applyAlignment="1">
      <alignment horizontal="center" vertical="center"/>
    </xf>
    <xf numFmtId="0" fontId="40" fillId="12" borderId="94" xfId="0" applyFont="1" applyFill="1" applyBorder="1" applyAlignment="1">
      <alignment horizontal="center" vertical="center"/>
    </xf>
    <xf numFmtId="0" fontId="40" fillId="12" borderId="90" xfId="0" applyFont="1" applyFill="1"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13" fillId="11" borderId="97" xfId="0" applyFont="1" applyFill="1" applyBorder="1" applyAlignment="1">
      <alignment horizontal="center" vertical="center"/>
    </xf>
    <xf numFmtId="0" fontId="2" fillId="12" borderId="96" xfId="0" applyFont="1" applyFill="1" applyBorder="1" applyAlignment="1">
      <alignment horizontal="center" vertical="center"/>
    </xf>
    <xf numFmtId="0" fontId="2" fillId="12" borderId="98" xfId="0" applyFont="1" applyFill="1" applyBorder="1" applyAlignment="1">
      <alignment horizontal="center" vertical="center"/>
    </xf>
    <xf numFmtId="0" fontId="13" fillId="11" borderId="96" xfId="0" applyFont="1" applyFill="1" applyBorder="1" applyAlignment="1">
      <alignment horizontal="center" vertical="center"/>
    </xf>
    <xf numFmtId="0" fontId="13" fillId="11" borderId="89" xfId="0" applyFont="1" applyFill="1" applyBorder="1" applyAlignment="1">
      <alignment horizontal="center" vertical="center"/>
    </xf>
    <xf numFmtId="0" fontId="2" fillId="12" borderId="94" xfId="0" applyFont="1" applyFill="1" applyBorder="1" applyAlignment="1">
      <alignment horizontal="center" vertical="center"/>
    </xf>
    <xf numFmtId="0" fontId="2" fillId="12" borderId="90" xfId="0" applyFont="1" applyFill="1" applyBorder="1" applyAlignment="1">
      <alignment horizontal="center" vertical="center"/>
    </xf>
    <xf numFmtId="0" fontId="13" fillId="11" borderId="94" xfId="0" applyFont="1" applyFill="1" applyBorder="1" applyAlignment="1">
      <alignment horizontal="center" vertical="center"/>
    </xf>
    <xf numFmtId="0" fontId="13" fillId="11" borderId="0" xfId="0" applyFont="1" applyFill="1" applyAlignment="1">
      <alignment horizontal="center" vertical="center"/>
    </xf>
    <xf numFmtId="0" fontId="2" fillId="12" borderId="88" xfId="0" applyFont="1" applyFill="1" applyBorder="1" applyAlignment="1">
      <alignment horizontal="center" vertical="center"/>
    </xf>
    <xf numFmtId="0" fontId="2" fillId="12" borderId="87" xfId="0" applyFont="1" applyFill="1" applyBorder="1" applyAlignment="1">
      <alignment horizontal="center" vertical="center"/>
    </xf>
    <xf numFmtId="0" fontId="13" fillId="11" borderId="90" xfId="0" applyFont="1" applyFill="1" applyBorder="1" applyAlignment="1">
      <alignment horizontal="center" vertical="center"/>
    </xf>
    <xf numFmtId="0" fontId="13" fillId="11" borderId="99" xfId="0" applyFont="1" applyFill="1" applyBorder="1" applyAlignment="1">
      <alignment horizontal="center" vertical="center"/>
    </xf>
    <xf numFmtId="0" fontId="13" fillId="11" borderId="87" xfId="0" applyFont="1" applyFill="1" applyBorder="1" applyAlignment="1">
      <alignment horizontal="center" vertical="center"/>
    </xf>
    <xf numFmtId="0" fontId="13" fillId="11" borderId="88" xfId="0" applyFont="1" applyFill="1" applyBorder="1" applyAlignment="1">
      <alignment horizontal="center" vertical="center"/>
    </xf>
    <xf numFmtId="0" fontId="13" fillId="11" borderId="100" xfId="0" applyFont="1" applyFill="1" applyBorder="1" applyAlignment="1">
      <alignment horizontal="center" vertical="center"/>
    </xf>
    <xf numFmtId="0" fontId="2" fillId="12" borderId="95" xfId="0" applyFont="1" applyFill="1" applyBorder="1" applyAlignment="1">
      <alignment horizontal="center" vertical="center"/>
    </xf>
    <xf numFmtId="0" fontId="2" fillId="12" borderId="100" xfId="0" applyFont="1" applyFill="1" applyBorder="1" applyAlignment="1">
      <alignment horizontal="center" vertical="center"/>
    </xf>
    <xf numFmtId="0" fontId="13" fillId="11" borderId="95" xfId="0" applyFont="1" applyFill="1" applyBorder="1" applyAlignment="1">
      <alignment horizontal="center" vertical="center"/>
    </xf>
    <xf numFmtId="0" fontId="13" fillId="11" borderId="98" xfId="0" applyFont="1" applyFill="1" applyBorder="1" applyAlignment="1">
      <alignment horizontal="center" vertical="center"/>
    </xf>
    <xf numFmtId="0" fontId="2" fillId="17" borderId="4" xfId="0" applyFont="1" applyFill="1" applyBorder="1" applyAlignment="1">
      <alignment horizontal="center" vertical="center"/>
    </xf>
    <xf numFmtId="0" fontId="2" fillId="17" borderId="5"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6" fillId="9" borderId="92" xfId="0" applyFont="1" applyFill="1" applyBorder="1" applyAlignment="1">
      <alignment horizontal="center" vertical="center"/>
    </xf>
    <xf numFmtId="0" fontId="36" fillId="9" borderId="91" xfId="0" applyFont="1" applyFill="1" applyBorder="1" applyAlignment="1">
      <alignment horizontal="center" vertical="center"/>
    </xf>
    <xf numFmtId="0" fontId="0" fillId="0" borderId="8" xfId="0" applyBorder="1" applyAlignment="1">
      <alignment horizontal="center"/>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3" fillId="0" borderId="64" xfId="0" applyFont="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158" xfId="0" applyFont="1" applyFill="1" applyBorder="1" applyAlignment="1">
      <alignment horizontal="center" vertical="center"/>
    </xf>
    <xf numFmtId="0" fontId="2" fillId="2" borderId="159" xfId="0" applyFont="1" applyFill="1" applyBorder="1" applyAlignment="1">
      <alignment horizontal="center" vertical="center"/>
    </xf>
    <xf numFmtId="0" fontId="2" fillId="0" borderId="0" xfId="0" applyFont="1" applyAlignment="1">
      <alignment horizontal="left" vertical="top" wrapText="1"/>
    </xf>
    <xf numFmtId="0" fontId="11" fillId="0" borderId="0" xfId="0" applyFont="1" applyAlignment="1">
      <alignment horizontal="center" wrapText="1"/>
    </xf>
    <xf numFmtId="0" fontId="14" fillId="0" borderId="9" xfId="0" applyFont="1" applyBorder="1" applyAlignment="1">
      <alignment horizontal="center" vertical="center" wrapText="1"/>
    </xf>
    <xf numFmtId="0" fontId="36" fillId="9" borderId="93" xfId="0" applyFont="1" applyFill="1" applyBorder="1" applyAlignment="1">
      <alignment horizontal="center" vertical="center"/>
    </xf>
    <xf numFmtId="0" fontId="11" fillId="0" borderId="19" xfId="0" applyFont="1" applyBorder="1" applyAlignment="1">
      <alignment horizontal="center" vertical="center" wrapText="1"/>
    </xf>
    <xf numFmtId="0" fontId="3" fillId="0" borderId="14" xfId="0" applyFont="1" applyBorder="1" applyAlignment="1">
      <alignment horizontal="left"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0" fillId="6" borderId="22" xfId="0" applyFont="1" applyFill="1" applyBorder="1" applyAlignment="1">
      <alignment horizontal="left" vertical="center" wrapText="1"/>
    </xf>
    <xf numFmtId="0" fontId="20" fillId="6" borderId="23" xfId="0" applyFont="1" applyFill="1" applyBorder="1" applyAlignment="1">
      <alignment horizontal="left" vertical="center" wrapText="1"/>
    </xf>
    <xf numFmtId="0" fontId="20" fillId="6" borderId="24" xfId="0" applyFont="1" applyFill="1" applyBorder="1" applyAlignment="1">
      <alignment horizontal="left" vertical="center" wrapText="1"/>
    </xf>
    <xf numFmtId="0" fontId="18" fillId="0" borderId="14" xfId="2" applyFont="1" applyBorder="1" applyAlignment="1">
      <alignment horizontal="center"/>
    </xf>
    <xf numFmtId="0" fontId="18" fillId="0" borderId="15" xfId="2" applyFont="1" applyBorder="1" applyAlignment="1">
      <alignment horizontal="center"/>
    </xf>
    <xf numFmtId="0" fontId="18" fillId="0" borderId="16" xfId="2" applyFont="1" applyBorder="1" applyAlignment="1">
      <alignment horizontal="center"/>
    </xf>
    <xf numFmtId="0" fontId="21" fillId="6" borderId="25" xfId="2" applyFont="1" applyFill="1" applyBorder="1" applyAlignment="1">
      <alignment horizontal="center"/>
    </xf>
    <xf numFmtId="0" fontId="21" fillId="6" borderId="112" xfId="2" applyFont="1" applyFill="1" applyBorder="1" applyAlignment="1">
      <alignment horizontal="center"/>
    </xf>
    <xf numFmtId="0" fontId="21" fillId="6" borderId="30" xfId="2" applyFont="1" applyFill="1" applyBorder="1" applyAlignment="1">
      <alignment horizontal="center"/>
    </xf>
    <xf numFmtId="0" fontId="21" fillId="6" borderId="0" xfId="2" applyFont="1" applyFill="1" applyAlignment="1">
      <alignment horizontal="center"/>
    </xf>
    <xf numFmtId="0" fontId="32" fillId="6" borderId="102" xfId="0" applyFont="1" applyFill="1" applyBorder="1" applyAlignment="1">
      <alignment horizontal="center" vertical="center" wrapText="1"/>
    </xf>
    <xf numFmtId="0" fontId="32" fillId="6" borderId="59" xfId="0" applyFont="1" applyFill="1" applyBorder="1" applyAlignment="1">
      <alignment horizontal="center" vertical="center" wrapText="1"/>
    </xf>
    <xf numFmtId="0" fontId="32" fillId="6" borderId="103" xfId="0" applyFont="1" applyFill="1" applyBorder="1" applyAlignment="1">
      <alignment horizontal="center" vertical="center" wrapText="1"/>
    </xf>
    <xf numFmtId="0" fontId="32" fillId="6" borderId="104" xfId="0" applyFont="1" applyFill="1" applyBorder="1" applyAlignment="1">
      <alignment horizontal="center" vertical="center" wrapText="1"/>
    </xf>
    <xf numFmtId="0" fontId="32" fillId="6" borderId="101" xfId="0" quotePrefix="1" applyFont="1" applyFill="1" applyBorder="1" applyAlignment="1">
      <alignment horizontal="center" vertical="center" wrapText="1"/>
    </xf>
    <xf numFmtId="0" fontId="32" fillId="6" borderId="28" xfId="0" quotePrefix="1" applyFont="1" applyFill="1" applyBorder="1" applyAlignment="1">
      <alignment horizontal="center" vertical="center" wrapText="1"/>
    </xf>
    <xf numFmtId="0" fontId="32" fillId="6" borderId="29" xfId="0" quotePrefix="1" applyFont="1" applyFill="1" applyBorder="1" applyAlignment="1">
      <alignment horizontal="center" vertical="center" wrapText="1"/>
    </xf>
    <xf numFmtId="0" fontId="32" fillId="6" borderId="22" xfId="0" quotePrefix="1" applyFont="1" applyFill="1" applyBorder="1" applyAlignment="1">
      <alignment horizontal="left" vertical="center"/>
    </xf>
    <xf numFmtId="0" fontId="32" fillId="6" borderId="23" xfId="0" quotePrefix="1" applyFont="1" applyFill="1" applyBorder="1" applyAlignment="1">
      <alignment horizontal="left" vertical="center"/>
    </xf>
    <xf numFmtId="0" fontId="32" fillId="6" borderId="24" xfId="0" quotePrefix="1" applyFont="1" applyFill="1" applyBorder="1" applyAlignment="1">
      <alignment horizontal="left" vertical="center"/>
    </xf>
    <xf numFmtId="0" fontId="32" fillId="7" borderId="142" xfId="0" applyFont="1" applyFill="1" applyBorder="1" applyAlignment="1">
      <alignment horizontal="center" vertical="center" wrapText="1"/>
    </xf>
    <xf numFmtId="0" fontId="32" fillId="7" borderId="21" xfId="0" applyFont="1" applyFill="1" applyBorder="1" applyAlignment="1">
      <alignment horizontal="center" vertical="center" wrapText="1"/>
    </xf>
    <xf numFmtId="0" fontId="32" fillId="7" borderId="109" xfId="0" applyFont="1" applyFill="1" applyBorder="1" applyAlignment="1">
      <alignment horizontal="center" vertical="center" wrapText="1"/>
    </xf>
    <xf numFmtId="0" fontId="32" fillId="6" borderId="25" xfId="0" applyFont="1" applyFill="1" applyBorder="1" applyAlignment="1">
      <alignment horizontal="center" vertical="center" wrapText="1"/>
    </xf>
    <xf numFmtId="0" fontId="32" fillId="6" borderId="30" xfId="0" applyFont="1" applyFill="1" applyBorder="1" applyAlignment="1">
      <alignment horizontal="center" vertical="center" wrapText="1"/>
    </xf>
    <xf numFmtId="0" fontId="32" fillId="6" borderId="114" xfId="0" applyFont="1" applyFill="1" applyBorder="1" applyAlignment="1">
      <alignment horizontal="center" vertical="center" wrapText="1"/>
    </xf>
    <xf numFmtId="0" fontId="32" fillId="6" borderId="22" xfId="0" applyFont="1" applyFill="1" applyBorder="1" applyAlignment="1">
      <alignment horizontal="center"/>
    </xf>
    <xf numFmtId="0" fontId="32" fillId="6" borderId="23" xfId="0" applyFont="1" applyFill="1" applyBorder="1" applyAlignment="1">
      <alignment horizontal="center"/>
    </xf>
    <xf numFmtId="0" fontId="32" fillId="6" borderId="24" xfId="0" applyFont="1" applyFill="1" applyBorder="1" applyAlignment="1">
      <alignment horizontal="center"/>
    </xf>
    <xf numFmtId="0" fontId="32" fillId="7" borderId="143" xfId="0" applyFont="1" applyFill="1" applyBorder="1" applyAlignment="1">
      <alignment horizontal="center" vertical="center" wrapText="1"/>
    </xf>
    <xf numFmtId="0" fontId="32" fillId="7" borderId="32" xfId="0" applyFont="1" applyFill="1" applyBorder="1" applyAlignment="1">
      <alignment horizontal="center" vertical="center" wrapText="1"/>
    </xf>
    <xf numFmtId="0" fontId="32" fillId="7" borderId="110" xfId="0" applyFont="1" applyFill="1" applyBorder="1" applyAlignment="1">
      <alignment horizontal="center" vertical="center" wrapText="1"/>
    </xf>
    <xf numFmtId="0" fontId="32" fillId="7" borderId="102" xfId="0" applyFont="1" applyFill="1" applyBorder="1" applyAlignment="1">
      <alignment horizontal="center" vertical="center" wrapText="1"/>
    </xf>
    <xf numFmtId="0" fontId="32" fillId="7" borderId="36" xfId="0" applyFont="1" applyFill="1" applyBorder="1" applyAlignment="1">
      <alignment horizontal="center" vertical="center" wrapText="1"/>
    </xf>
    <xf numFmtId="0" fontId="32" fillId="7" borderId="59" xfId="0" applyFont="1" applyFill="1" applyBorder="1" applyAlignment="1">
      <alignment horizontal="center" vertical="center" wrapText="1"/>
    </xf>
    <xf numFmtId="0" fontId="17" fillId="6" borderId="22" xfId="3" applyFont="1" applyFill="1" applyBorder="1" applyAlignment="1">
      <alignment horizontal="left" vertical="center"/>
    </xf>
    <xf numFmtId="0" fontId="17" fillId="6" borderId="23" xfId="3" applyFont="1" applyFill="1" applyBorder="1" applyAlignment="1">
      <alignment horizontal="left" vertical="center"/>
    </xf>
    <xf numFmtId="0" fontId="17" fillId="6" borderId="24" xfId="3" applyFont="1" applyFill="1" applyBorder="1" applyAlignment="1">
      <alignment horizontal="left" vertical="center"/>
    </xf>
    <xf numFmtId="0" fontId="23" fillId="6" borderId="25" xfId="2" applyFont="1" applyFill="1" applyBorder="1" applyAlignment="1">
      <alignment horizontal="center"/>
    </xf>
    <xf numFmtId="0" fontId="23" fillId="6" borderId="26" xfId="2" applyFont="1" applyFill="1" applyBorder="1" applyAlignment="1">
      <alignment horizontal="center"/>
    </xf>
    <xf numFmtId="0" fontId="23" fillId="6" borderId="30" xfId="2" applyFont="1" applyFill="1" applyBorder="1" applyAlignment="1">
      <alignment horizontal="center"/>
    </xf>
    <xf numFmtId="0" fontId="23" fillId="6" borderId="0" xfId="2" applyFont="1" applyFill="1" applyAlignment="1">
      <alignment horizontal="center"/>
    </xf>
    <xf numFmtId="0" fontId="23" fillId="6" borderId="33" xfId="2" applyFont="1" applyFill="1" applyBorder="1" applyAlignment="1">
      <alignment horizontal="center"/>
    </xf>
    <xf numFmtId="0" fontId="23" fillId="6" borderId="19" xfId="2" applyFont="1" applyFill="1" applyBorder="1" applyAlignment="1">
      <alignment horizontal="center"/>
    </xf>
    <xf numFmtId="0" fontId="20" fillId="6" borderId="23" xfId="0" applyFont="1" applyFill="1" applyBorder="1" applyAlignment="1">
      <alignment horizontal="center"/>
    </xf>
    <xf numFmtId="0" fontId="23" fillId="6" borderId="23" xfId="0" applyFont="1" applyFill="1" applyBorder="1" applyAlignment="1">
      <alignment horizontal="center"/>
    </xf>
    <xf numFmtId="0" fontId="23" fillId="6" borderId="24" xfId="0" applyFont="1" applyFill="1" applyBorder="1" applyAlignment="1">
      <alignment horizontal="center"/>
    </xf>
    <xf numFmtId="0" fontId="32" fillId="6" borderId="139" xfId="0" applyFont="1" applyFill="1" applyBorder="1" applyAlignment="1">
      <alignment horizontal="center" vertical="center" wrapText="1"/>
    </xf>
    <xf numFmtId="0" fontId="32" fillId="6" borderId="141" xfId="0" applyFont="1" applyFill="1" applyBorder="1" applyAlignment="1">
      <alignment horizontal="center" vertical="center" wrapText="1"/>
    </xf>
    <xf numFmtId="0" fontId="32" fillId="6" borderId="144" xfId="0" applyFont="1" applyFill="1" applyBorder="1" applyAlignment="1">
      <alignment horizontal="center" vertical="center" wrapText="1"/>
    </xf>
    <xf numFmtId="0" fontId="32" fillId="6" borderId="105" xfId="0" applyFont="1" applyFill="1" applyBorder="1" applyAlignment="1">
      <alignment horizontal="center"/>
    </xf>
    <xf numFmtId="0" fontId="32" fillId="6" borderId="140" xfId="0" applyFont="1" applyFill="1" applyBorder="1" applyAlignment="1">
      <alignment horizontal="center"/>
    </xf>
    <xf numFmtId="0" fontId="32" fillId="6" borderId="106" xfId="0" applyFont="1" applyFill="1" applyBorder="1" applyAlignment="1">
      <alignment horizontal="center"/>
    </xf>
    <xf numFmtId="0" fontId="32" fillId="6" borderId="111" xfId="0" applyFont="1" applyFill="1" applyBorder="1" applyAlignment="1">
      <alignment horizontal="center" vertical="center" wrapText="1"/>
    </xf>
    <xf numFmtId="0" fontId="32" fillId="6" borderId="113" xfId="0" applyFont="1" applyFill="1" applyBorder="1" applyAlignment="1">
      <alignment horizontal="center" vertical="center" wrapText="1"/>
    </xf>
    <xf numFmtId="0" fontId="32" fillId="6" borderId="115" xfId="0" applyFont="1" applyFill="1" applyBorder="1" applyAlignment="1">
      <alignment horizontal="center" vertical="center" wrapText="1"/>
    </xf>
    <xf numFmtId="0" fontId="32" fillId="6" borderId="112"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7" borderId="25" xfId="0" quotePrefix="1" applyFont="1" applyFill="1" applyBorder="1" applyAlignment="1">
      <alignment horizontal="center" vertical="center"/>
    </xf>
    <xf numFmtId="0" fontId="32" fillId="7" borderId="114" xfId="0" quotePrefix="1" applyFont="1" applyFill="1" applyBorder="1" applyAlignment="1">
      <alignment horizontal="center" vertical="center"/>
    </xf>
    <xf numFmtId="0" fontId="32" fillId="7" borderId="142" xfId="0" quotePrefix="1" applyFont="1" applyFill="1" applyBorder="1" applyAlignment="1">
      <alignment horizontal="center" vertical="center" wrapText="1"/>
    </xf>
    <xf numFmtId="0" fontId="32" fillId="7" borderId="143" xfId="0" quotePrefix="1" applyFont="1" applyFill="1" applyBorder="1" applyAlignment="1">
      <alignment horizontal="center" vertical="center" wrapText="1"/>
    </xf>
    <xf numFmtId="0" fontId="32" fillId="7" borderId="110" xfId="0" quotePrefix="1" applyFont="1" applyFill="1" applyBorder="1" applyAlignment="1">
      <alignment horizontal="center" vertical="center" wrapText="1"/>
    </xf>
  </cellXfs>
  <cellStyles count="8">
    <cellStyle name="Comma" xfId="7" builtinId="3"/>
    <cellStyle name="Comma 2" xfId="1" xr:uid="{C32C1A3F-17B2-4E25-A801-7D9D498F81AC}"/>
    <cellStyle name="Normal" xfId="0" builtinId="0"/>
    <cellStyle name="Normal 2" xfId="2" xr:uid="{13F55425-37E6-4C08-B47A-59E1A44BF8CD}"/>
    <cellStyle name="Normal 2 2" xfId="5" xr:uid="{B1FEC170-110F-4B74-9959-431EE04A0935}"/>
    <cellStyle name="Normal 2 2 2" xfId="4" xr:uid="{CB79E11B-F2F0-4EC2-900F-AA9055177A58}"/>
    <cellStyle name="Normal 3 2" xfId="3" xr:uid="{98DD8E78-22F6-4A66-9079-59D5AE493619}"/>
    <cellStyle name="Percent 2" xfId="6" xr:uid="{3744BC06-AEB1-43DA-B4CE-A08998966C8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0B6B2"/>
      <color rgb="FFD7EEF9"/>
      <color rgb="FFFFFFD9"/>
      <color rgb="FFD8F2CE"/>
      <color rgb="FFA2D8F0"/>
      <color rgb="FFEFF9EB"/>
      <color rgb="FF3CADE0"/>
      <color rgb="FF1E8EC0"/>
      <color rgb="FFFFDDD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183151</xdr:colOff>
      <xdr:row>1</xdr:row>
      <xdr:rowOff>102597</xdr:rowOff>
    </xdr:from>
    <xdr:to>
      <xdr:col>10</xdr:col>
      <xdr:colOff>219347</xdr:colOff>
      <xdr:row>4</xdr:row>
      <xdr:rowOff>119743</xdr:rowOff>
    </xdr:to>
    <xdr:sp macro="" textlink="">
      <xdr:nvSpPr>
        <xdr:cNvPr id="2" name="Rectangle: Rounded Corners 1">
          <a:extLst>
            <a:ext uri="{FF2B5EF4-FFF2-40B4-BE49-F238E27FC236}">
              <a16:creationId xmlns:a16="http://schemas.microsoft.com/office/drawing/2014/main" id="{FBA8EBA4-D618-0F04-9CC4-F8A092044203}"/>
            </a:ext>
          </a:extLst>
        </xdr:cNvPr>
        <xdr:cNvSpPr/>
      </xdr:nvSpPr>
      <xdr:spPr>
        <a:xfrm>
          <a:off x="4469401" y="279490"/>
          <a:ext cx="1873160" cy="547824"/>
        </a:xfrm>
        <a:prstGeom prst="roundRect">
          <a:avLst/>
        </a:prstGeom>
        <a:solidFill>
          <a:srgbClr val="B55349"/>
        </a:solidFill>
        <a:ln>
          <a:solidFill>
            <a:srgbClr val="B5534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b="1"/>
            <a:t>Депозити</a:t>
          </a:r>
          <a:r>
            <a:rPr lang="sr-Cyrl-BA" sz="1100" b="1" baseline="0"/>
            <a:t> без уговореног рока доспијећа</a:t>
          </a:r>
          <a:r>
            <a:rPr lang="sr-Latn-BA" sz="1100" b="1" baseline="0"/>
            <a:t>*</a:t>
          </a:r>
          <a:endParaRPr lang="en-US" sz="1100" b="1"/>
        </a:p>
      </xdr:txBody>
    </xdr:sp>
    <xdr:clientData/>
  </xdr:twoCellAnchor>
  <xdr:twoCellAnchor>
    <xdr:from>
      <xdr:col>4</xdr:col>
      <xdr:colOff>59570</xdr:colOff>
      <xdr:row>6</xdr:row>
      <xdr:rowOff>138792</xdr:rowOff>
    </xdr:from>
    <xdr:to>
      <xdr:col>7</xdr:col>
      <xdr:colOff>97671</xdr:colOff>
      <xdr:row>9</xdr:row>
      <xdr:rowOff>155937</xdr:rowOff>
    </xdr:to>
    <xdr:sp macro="" textlink="">
      <xdr:nvSpPr>
        <xdr:cNvPr id="4" name="Rectangle: Rounded Corners 3">
          <a:extLst>
            <a:ext uri="{FF2B5EF4-FFF2-40B4-BE49-F238E27FC236}">
              <a16:creationId xmlns:a16="http://schemas.microsoft.com/office/drawing/2014/main" id="{0D266DE7-24F9-4E83-860B-ECC36C31ABC0}"/>
            </a:ext>
          </a:extLst>
        </xdr:cNvPr>
        <xdr:cNvSpPr/>
      </xdr:nvSpPr>
      <xdr:spPr>
        <a:xfrm>
          <a:off x="2508856" y="1200149"/>
          <a:ext cx="1875065" cy="547824"/>
        </a:xfrm>
        <a:prstGeom prst="roundRect">
          <a:avLst/>
        </a:prstGeom>
        <a:solidFill>
          <a:srgbClr val="C17067"/>
        </a:solidFill>
        <a:ln>
          <a:solidFill>
            <a:srgbClr val="9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Трансакциони депозити</a:t>
          </a:r>
          <a:r>
            <a:rPr lang="sr-Cyrl-BA" sz="1100" baseline="0"/>
            <a:t> и трансакциони рачуни</a:t>
          </a:r>
          <a:endParaRPr lang="en-US" sz="1100"/>
        </a:p>
      </xdr:txBody>
    </xdr:sp>
    <xdr:clientData/>
  </xdr:twoCellAnchor>
  <xdr:twoCellAnchor>
    <xdr:from>
      <xdr:col>10</xdr:col>
      <xdr:colOff>574577</xdr:colOff>
      <xdr:row>6</xdr:row>
      <xdr:rowOff>141411</xdr:rowOff>
    </xdr:from>
    <xdr:to>
      <xdr:col>13</xdr:col>
      <xdr:colOff>587913</xdr:colOff>
      <xdr:row>10</xdr:row>
      <xdr:rowOff>2618</xdr:rowOff>
    </xdr:to>
    <xdr:sp macro="" textlink="">
      <xdr:nvSpPr>
        <xdr:cNvPr id="3" name="Rectangle: Rounded Corners 2">
          <a:extLst>
            <a:ext uri="{FF2B5EF4-FFF2-40B4-BE49-F238E27FC236}">
              <a16:creationId xmlns:a16="http://schemas.microsoft.com/office/drawing/2014/main" id="{BFD81948-698D-4AFF-B3BC-069D0CBB7581}"/>
            </a:ext>
          </a:extLst>
        </xdr:cNvPr>
        <xdr:cNvSpPr/>
      </xdr:nvSpPr>
      <xdr:spPr>
        <a:xfrm>
          <a:off x="6697791" y="1202768"/>
          <a:ext cx="1850301" cy="568779"/>
        </a:xfrm>
        <a:prstGeom prst="roundRect">
          <a:avLst/>
        </a:prstGeom>
        <a:solidFill>
          <a:srgbClr val="C17067"/>
        </a:solidFill>
        <a:ln>
          <a:solidFill>
            <a:srgbClr val="9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Нетрансакциони депозити</a:t>
          </a:r>
          <a:endParaRPr lang="en-US" sz="1100"/>
        </a:p>
      </xdr:txBody>
    </xdr:sp>
    <xdr:clientData/>
  </xdr:twoCellAnchor>
  <xdr:twoCellAnchor>
    <xdr:from>
      <xdr:col>5</xdr:col>
      <xdr:colOff>375553</xdr:colOff>
      <xdr:row>4</xdr:row>
      <xdr:rowOff>119743</xdr:rowOff>
    </xdr:from>
    <xdr:to>
      <xdr:col>8</xdr:col>
      <xdr:colOff>507707</xdr:colOff>
      <xdr:row>6</xdr:row>
      <xdr:rowOff>134982</xdr:rowOff>
    </xdr:to>
    <xdr:cxnSp macro="">
      <xdr:nvCxnSpPr>
        <xdr:cNvPr id="7" name="Connector: Elbow 6">
          <a:extLst>
            <a:ext uri="{FF2B5EF4-FFF2-40B4-BE49-F238E27FC236}">
              <a16:creationId xmlns:a16="http://schemas.microsoft.com/office/drawing/2014/main" id="{23E259AC-38DD-A70B-E7B6-6AAE45973E89}"/>
            </a:ext>
          </a:extLst>
        </xdr:cNvPr>
        <xdr:cNvCxnSpPr>
          <a:stCxn id="2" idx="2"/>
          <a:endCxn id="4" idx="0"/>
        </xdr:cNvCxnSpPr>
      </xdr:nvCxnSpPr>
      <xdr:spPr>
        <a:xfrm rot="5400000">
          <a:off x="4237206" y="27268"/>
          <a:ext cx="369025" cy="1969118"/>
        </a:xfrm>
        <a:prstGeom prst="bentConnector3">
          <a:avLst/>
        </a:prstGeom>
        <a:ln>
          <a:solidFill>
            <a:srgbClr val="B55349"/>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507706</xdr:colOff>
      <xdr:row>4</xdr:row>
      <xdr:rowOff>119743</xdr:rowOff>
    </xdr:from>
    <xdr:to>
      <xdr:col>12</xdr:col>
      <xdr:colOff>271931</xdr:colOff>
      <xdr:row>6</xdr:row>
      <xdr:rowOff>137601</xdr:rowOff>
    </xdr:to>
    <xdr:cxnSp macro="">
      <xdr:nvCxnSpPr>
        <xdr:cNvPr id="9" name="Connector: Elbow 8">
          <a:extLst>
            <a:ext uri="{FF2B5EF4-FFF2-40B4-BE49-F238E27FC236}">
              <a16:creationId xmlns:a16="http://schemas.microsoft.com/office/drawing/2014/main" id="{B9A910FB-349C-5127-F14D-A1967E5F85F5}"/>
            </a:ext>
          </a:extLst>
        </xdr:cNvPr>
        <xdr:cNvCxnSpPr>
          <a:stCxn id="2" idx="2"/>
          <a:endCxn id="3" idx="0"/>
        </xdr:cNvCxnSpPr>
      </xdr:nvCxnSpPr>
      <xdr:spPr>
        <a:xfrm rot="16200000" flipH="1">
          <a:off x="6327211" y="-93620"/>
          <a:ext cx="371644" cy="2213511"/>
        </a:xfrm>
        <a:prstGeom prst="bentConnector3">
          <a:avLst/>
        </a:prstGeom>
        <a:ln>
          <a:solidFill>
            <a:srgbClr val="B55349"/>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339819</xdr:colOff>
      <xdr:row>11</xdr:row>
      <xdr:rowOff>39445</xdr:rowOff>
    </xdr:from>
    <xdr:to>
      <xdr:col>4</xdr:col>
      <xdr:colOff>597556</xdr:colOff>
      <xdr:row>13</xdr:row>
      <xdr:rowOff>102373</xdr:rowOff>
    </xdr:to>
    <xdr:sp macro="" textlink="">
      <xdr:nvSpPr>
        <xdr:cNvPr id="10" name="Rectangle: Rounded Corners 9">
          <a:extLst>
            <a:ext uri="{FF2B5EF4-FFF2-40B4-BE49-F238E27FC236}">
              <a16:creationId xmlns:a16="http://schemas.microsoft.com/office/drawing/2014/main" id="{CAABD2B4-2109-4225-AFB1-A27A34B8E823}"/>
            </a:ext>
          </a:extLst>
        </xdr:cNvPr>
        <xdr:cNvSpPr/>
      </xdr:nvSpPr>
      <xdr:spPr>
        <a:xfrm>
          <a:off x="1564462" y="1985266"/>
          <a:ext cx="1482380" cy="41671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Стабилни депозити</a:t>
          </a:r>
          <a:endParaRPr lang="en-US" sz="1100"/>
        </a:p>
      </xdr:txBody>
    </xdr:sp>
    <xdr:clientData/>
  </xdr:twoCellAnchor>
  <xdr:twoCellAnchor>
    <xdr:from>
      <xdr:col>5</xdr:col>
      <xdr:colOff>263769</xdr:colOff>
      <xdr:row>11</xdr:row>
      <xdr:rowOff>41610</xdr:rowOff>
    </xdr:from>
    <xdr:to>
      <xdr:col>8</xdr:col>
      <xdr:colOff>8261</xdr:colOff>
      <xdr:row>13</xdr:row>
      <xdr:rowOff>97620</xdr:rowOff>
    </xdr:to>
    <xdr:sp macro="" textlink="">
      <xdr:nvSpPr>
        <xdr:cNvPr id="11" name="Rectangle: Rounded Corners 10">
          <a:extLst>
            <a:ext uri="{FF2B5EF4-FFF2-40B4-BE49-F238E27FC236}">
              <a16:creationId xmlns:a16="http://schemas.microsoft.com/office/drawing/2014/main" id="{2779C58A-ACD4-4586-92B1-AB64A0F88C4F}"/>
            </a:ext>
          </a:extLst>
        </xdr:cNvPr>
        <xdr:cNvSpPr/>
      </xdr:nvSpPr>
      <xdr:spPr>
        <a:xfrm>
          <a:off x="3325376" y="1987431"/>
          <a:ext cx="1581456" cy="409796"/>
        </a:xfrm>
        <a:prstGeom prst="roundRect">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Нестабилни депозити</a:t>
          </a:r>
          <a:endParaRPr lang="en-US" sz="1100"/>
        </a:p>
      </xdr:txBody>
    </xdr:sp>
    <xdr:clientData/>
  </xdr:twoCellAnchor>
  <xdr:twoCellAnchor>
    <xdr:from>
      <xdr:col>3</xdr:col>
      <xdr:colOff>466783</xdr:colOff>
      <xdr:row>9</xdr:row>
      <xdr:rowOff>155937</xdr:rowOff>
    </xdr:from>
    <xdr:to>
      <xdr:col>5</xdr:col>
      <xdr:colOff>379611</xdr:colOff>
      <xdr:row>11</xdr:row>
      <xdr:rowOff>39445</xdr:rowOff>
    </xdr:to>
    <xdr:cxnSp macro="">
      <xdr:nvCxnSpPr>
        <xdr:cNvPr id="13" name="Connector: Elbow 12">
          <a:extLst>
            <a:ext uri="{FF2B5EF4-FFF2-40B4-BE49-F238E27FC236}">
              <a16:creationId xmlns:a16="http://schemas.microsoft.com/office/drawing/2014/main" id="{B88D1D7B-1BD3-183A-23AD-4EFD659494AD}"/>
            </a:ext>
          </a:extLst>
        </xdr:cNvPr>
        <xdr:cNvCxnSpPr>
          <a:stCxn id="4" idx="2"/>
          <a:endCxn id="10" idx="0"/>
        </xdr:cNvCxnSpPr>
      </xdr:nvCxnSpPr>
      <xdr:spPr>
        <a:xfrm rot="5400000">
          <a:off x="2738868" y="1341427"/>
          <a:ext cx="245458" cy="1132028"/>
        </a:xfrm>
        <a:prstGeom prst="bentConnector3">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379611</xdr:colOff>
      <xdr:row>9</xdr:row>
      <xdr:rowOff>155936</xdr:rowOff>
    </xdr:from>
    <xdr:to>
      <xdr:col>6</xdr:col>
      <xdr:colOff>441768</xdr:colOff>
      <xdr:row>11</xdr:row>
      <xdr:rowOff>41609</xdr:rowOff>
    </xdr:to>
    <xdr:cxnSp macro="">
      <xdr:nvCxnSpPr>
        <xdr:cNvPr id="15" name="Connector: Elbow 14">
          <a:extLst>
            <a:ext uri="{FF2B5EF4-FFF2-40B4-BE49-F238E27FC236}">
              <a16:creationId xmlns:a16="http://schemas.microsoft.com/office/drawing/2014/main" id="{3CE49D2F-807A-691E-2E09-FC60129D3E7B}"/>
            </a:ext>
          </a:extLst>
        </xdr:cNvPr>
        <xdr:cNvCxnSpPr>
          <a:stCxn id="4" idx="2"/>
          <a:endCxn id="11" idx="0"/>
        </xdr:cNvCxnSpPr>
      </xdr:nvCxnSpPr>
      <xdr:spPr>
        <a:xfrm rot="16200000" flipH="1">
          <a:off x="3639678" y="1572644"/>
          <a:ext cx="247623" cy="671757"/>
        </a:xfrm>
        <a:prstGeom prst="bentConnector3">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12198</xdr:colOff>
      <xdr:row>11</xdr:row>
      <xdr:rowOff>39176</xdr:rowOff>
    </xdr:from>
    <xdr:to>
      <xdr:col>12</xdr:col>
      <xdr:colOff>278867</xdr:colOff>
      <xdr:row>13</xdr:row>
      <xdr:rowOff>98294</xdr:rowOff>
    </xdr:to>
    <xdr:sp macro="" textlink="">
      <xdr:nvSpPr>
        <xdr:cNvPr id="17" name="Rectangle: Rounded Corners 16">
          <a:extLst>
            <a:ext uri="{FF2B5EF4-FFF2-40B4-BE49-F238E27FC236}">
              <a16:creationId xmlns:a16="http://schemas.microsoft.com/office/drawing/2014/main" id="{03960FAE-8510-47E0-922D-B1E47AED8A7A}"/>
            </a:ext>
          </a:extLst>
        </xdr:cNvPr>
        <xdr:cNvSpPr/>
      </xdr:nvSpPr>
      <xdr:spPr>
        <a:xfrm>
          <a:off x="6135412" y="1984997"/>
          <a:ext cx="1491312" cy="41290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Стабилни депозити</a:t>
          </a:r>
          <a:endParaRPr lang="en-US" sz="1100"/>
        </a:p>
      </xdr:txBody>
    </xdr:sp>
    <xdr:clientData/>
  </xdr:twoCellAnchor>
  <xdr:twoCellAnchor>
    <xdr:from>
      <xdr:col>12</xdr:col>
      <xdr:colOff>559015</xdr:colOff>
      <xdr:row>11</xdr:row>
      <xdr:rowOff>36692</xdr:rowOff>
    </xdr:from>
    <xdr:to>
      <xdr:col>15</xdr:col>
      <xdr:colOff>360159</xdr:colOff>
      <xdr:row>13</xdr:row>
      <xdr:rowOff>102413</xdr:rowOff>
    </xdr:to>
    <xdr:sp macro="" textlink="">
      <xdr:nvSpPr>
        <xdr:cNvPr id="18" name="Rectangle: Rounded Corners 17">
          <a:extLst>
            <a:ext uri="{FF2B5EF4-FFF2-40B4-BE49-F238E27FC236}">
              <a16:creationId xmlns:a16="http://schemas.microsoft.com/office/drawing/2014/main" id="{5C7124C5-BB31-403E-99AF-129B0B52FF92}"/>
            </a:ext>
          </a:extLst>
        </xdr:cNvPr>
        <xdr:cNvSpPr/>
      </xdr:nvSpPr>
      <xdr:spPr>
        <a:xfrm>
          <a:off x="7906872" y="1982513"/>
          <a:ext cx="1638108" cy="419507"/>
        </a:xfrm>
        <a:prstGeom prst="roundRect">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Нестабилни депозити</a:t>
          </a:r>
          <a:endParaRPr lang="en-US" sz="1100"/>
        </a:p>
      </xdr:txBody>
    </xdr:sp>
    <xdr:clientData/>
  </xdr:twoCellAnchor>
  <xdr:twoCellAnchor>
    <xdr:from>
      <xdr:col>11</xdr:col>
      <xdr:colOff>149343</xdr:colOff>
      <xdr:row>10</xdr:row>
      <xdr:rowOff>2618</xdr:rowOff>
    </xdr:from>
    <xdr:to>
      <xdr:col>12</xdr:col>
      <xdr:colOff>280591</xdr:colOff>
      <xdr:row>11</xdr:row>
      <xdr:rowOff>39176</xdr:rowOff>
    </xdr:to>
    <xdr:cxnSp macro="">
      <xdr:nvCxnSpPr>
        <xdr:cNvPr id="20" name="Connector: Elbow 19">
          <a:extLst>
            <a:ext uri="{FF2B5EF4-FFF2-40B4-BE49-F238E27FC236}">
              <a16:creationId xmlns:a16="http://schemas.microsoft.com/office/drawing/2014/main" id="{1AC1B4D4-D07B-F54A-4F78-A21EC93C1A2D}"/>
            </a:ext>
          </a:extLst>
        </xdr:cNvPr>
        <xdr:cNvCxnSpPr>
          <a:stCxn id="3" idx="2"/>
          <a:endCxn id="17" idx="0"/>
        </xdr:cNvCxnSpPr>
      </xdr:nvCxnSpPr>
      <xdr:spPr>
        <a:xfrm rot="5400000">
          <a:off x="7065894" y="1535302"/>
          <a:ext cx="215852" cy="736366"/>
        </a:xfrm>
        <a:prstGeom prst="bentConnector3">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280590</xdr:colOff>
      <xdr:row>10</xdr:row>
      <xdr:rowOff>2618</xdr:rowOff>
    </xdr:from>
    <xdr:to>
      <xdr:col>14</xdr:col>
      <xdr:colOff>157028</xdr:colOff>
      <xdr:row>11</xdr:row>
      <xdr:rowOff>36692</xdr:rowOff>
    </xdr:to>
    <xdr:cxnSp macro="">
      <xdr:nvCxnSpPr>
        <xdr:cNvPr id="22" name="Connector: Elbow 21">
          <a:extLst>
            <a:ext uri="{FF2B5EF4-FFF2-40B4-BE49-F238E27FC236}">
              <a16:creationId xmlns:a16="http://schemas.microsoft.com/office/drawing/2014/main" id="{D2D01AEF-FF03-BA7D-C8E5-8D23B40046D3}"/>
            </a:ext>
          </a:extLst>
        </xdr:cNvPr>
        <xdr:cNvCxnSpPr>
          <a:stCxn id="3" idx="2"/>
          <a:endCxn id="18" idx="0"/>
        </xdr:cNvCxnSpPr>
      </xdr:nvCxnSpPr>
      <xdr:spPr>
        <a:xfrm rot="16200000" flipH="1">
          <a:off x="7978655" y="1358906"/>
          <a:ext cx="213368" cy="1086673"/>
        </a:xfrm>
        <a:prstGeom prst="bentConnector3">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492005</xdr:colOff>
      <xdr:row>14</xdr:row>
      <xdr:rowOff>173992</xdr:rowOff>
    </xdr:from>
    <xdr:to>
      <xdr:col>3</xdr:col>
      <xdr:colOff>148259</xdr:colOff>
      <xdr:row>17</xdr:row>
      <xdr:rowOff>138957</xdr:rowOff>
    </xdr:to>
    <xdr:sp macro="" textlink="">
      <xdr:nvSpPr>
        <xdr:cNvPr id="23" name="Rectangle: Rounded Corners 22">
          <a:extLst>
            <a:ext uri="{FF2B5EF4-FFF2-40B4-BE49-F238E27FC236}">
              <a16:creationId xmlns:a16="http://schemas.microsoft.com/office/drawing/2014/main" id="{F272555D-1CD6-4F7D-975B-095EE326E1A2}"/>
            </a:ext>
          </a:extLst>
        </xdr:cNvPr>
        <xdr:cNvSpPr/>
      </xdr:nvSpPr>
      <xdr:spPr>
        <a:xfrm>
          <a:off x="492005" y="2650492"/>
          <a:ext cx="1493218" cy="495644"/>
        </a:xfrm>
        <a:prstGeom prst="roundRect">
          <a:avLst/>
        </a:prstGeom>
        <a:solidFill>
          <a:srgbClr val="186E9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Константна компонента</a:t>
          </a:r>
          <a:endParaRPr lang="en-US" sz="1100"/>
        </a:p>
      </xdr:txBody>
    </xdr:sp>
    <xdr:clientData/>
  </xdr:twoCellAnchor>
  <xdr:twoCellAnchor>
    <xdr:from>
      <xdr:col>3</xdr:col>
      <xdr:colOff>492005</xdr:colOff>
      <xdr:row>14</xdr:row>
      <xdr:rowOff>173329</xdr:rowOff>
    </xdr:from>
    <xdr:to>
      <xdr:col>6</xdr:col>
      <xdr:colOff>148259</xdr:colOff>
      <xdr:row>17</xdr:row>
      <xdr:rowOff>140199</xdr:rowOff>
    </xdr:to>
    <xdr:sp macro="" textlink="">
      <xdr:nvSpPr>
        <xdr:cNvPr id="24" name="Rectangle: Rounded Corners 23">
          <a:extLst>
            <a:ext uri="{FF2B5EF4-FFF2-40B4-BE49-F238E27FC236}">
              <a16:creationId xmlns:a16="http://schemas.microsoft.com/office/drawing/2014/main" id="{3FC50922-B8E3-4AFC-AEA4-5FA950AD0FFF}"/>
            </a:ext>
          </a:extLst>
        </xdr:cNvPr>
        <xdr:cNvSpPr/>
      </xdr:nvSpPr>
      <xdr:spPr>
        <a:xfrm>
          <a:off x="2328969" y="2649829"/>
          <a:ext cx="1493219" cy="497549"/>
        </a:xfrm>
        <a:prstGeom prst="roundRect">
          <a:avLst/>
        </a:prstGeom>
        <a:solidFill>
          <a:srgbClr val="1E8E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Промјенљива компонента</a:t>
          </a:r>
          <a:endParaRPr lang="en-US" sz="1100"/>
        </a:p>
      </xdr:txBody>
    </xdr:sp>
    <xdr:clientData/>
  </xdr:twoCellAnchor>
  <xdr:twoCellAnchor>
    <xdr:from>
      <xdr:col>1</xdr:col>
      <xdr:colOff>606587</xdr:colOff>
      <xdr:row>13</xdr:row>
      <xdr:rowOff>98563</xdr:rowOff>
    </xdr:from>
    <xdr:to>
      <xdr:col>3</xdr:col>
      <xdr:colOff>479166</xdr:colOff>
      <xdr:row>15</xdr:row>
      <xdr:rowOff>909</xdr:rowOff>
    </xdr:to>
    <xdr:cxnSp macro="">
      <xdr:nvCxnSpPr>
        <xdr:cNvPr id="26" name="Connector: Elbow 25">
          <a:extLst>
            <a:ext uri="{FF2B5EF4-FFF2-40B4-BE49-F238E27FC236}">
              <a16:creationId xmlns:a16="http://schemas.microsoft.com/office/drawing/2014/main" id="{061053CD-2DDE-1405-DBB4-CD2A26FB3461}"/>
            </a:ext>
          </a:extLst>
        </xdr:cNvPr>
        <xdr:cNvCxnSpPr>
          <a:stCxn id="10" idx="2"/>
          <a:endCxn id="23" idx="0"/>
        </xdr:cNvCxnSpPr>
      </xdr:nvCxnSpPr>
      <xdr:spPr>
        <a:xfrm rot="5400000">
          <a:off x="1639453" y="1977625"/>
          <a:ext cx="256132" cy="1097222"/>
        </a:xfrm>
        <a:prstGeom prst="bentConnector3">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479165</xdr:colOff>
      <xdr:row>13</xdr:row>
      <xdr:rowOff>98563</xdr:rowOff>
    </xdr:from>
    <xdr:to>
      <xdr:col>4</xdr:col>
      <xdr:colOff>606586</xdr:colOff>
      <xdr:row>15</xdr:row>
      <xdr:rowOff>246</xdr:rowOff>
    </xdr:to>
    <xdr:cxnSp macro="">
      <xdr:nvCxnSpPr>
        <xdr:cNvPr id="28" name="Connector: Elbow 27">
          <a:extLst>
            <a:ext uri="{FF2B5EF4-FFF2-40B4-BE49-F238E27FC236}">
              <a16:creationId xmlns:a16="http://schemas.microsoft.com/office/drawing/2014/main" id="{C16E979E-EC95-84EB-771E-CBC7DC025A8A}"/>
            </a:ext>
          </a:extLst>
        </xdr:cNvPr>
        <xdr:cNvCxnSpPr>
          <a:stCxn id="10" idx="2"/>
          <a:endCxn id="24" idx="0"/>
        </xdr:cNvCxnSpPr>
      </xdr:nvCxnSpPr>
      <xdr:spPr>
        <a:xfrm rot="16200000" flipH="1">
          <a:off x="2558266" y="2156033"/>
          <a:ext cx="255469" cy="739743"/>
        </a:xfrm>
        <a:prstGeom prst="bentConnector3">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236650</xdr:colOff>
      <xdr:row>19</xdr:row>
      <xdr:rowOff>76118</xdr:rowOff>
    </xdr:from>
    <xdr:to>
      <xdr:col>5</xdr:col>
      <xdr:colOff>6626</xdr:colOff>
      <xdr:row>20</xdr:row>
      <xdr:rowOff>66261</xdr:rowOff>
    </xdr:to>
    <xdr:sp macro="" textlink="">
      <xdr:nvSpPr>
        <xdr:cNvPr id="29" name="Rectangle: Rounded Corners 28">
          <a:extLst>
            <a:ext uri="{FF2B5EF4-FFF2-40B4-BE49-F238E27FC236}">
              <a16:creationId xmlns:a16="http://schemas.microsoft.com/office/drawing/2014/main" id="{A0CEDB08-F042-4643-A149-78B30D07AA64}"/>
            </a:ext>
          </a:extLst>
        </xdr:cNvPr>
        <xdr:cNvSpPr/>
      </xdr:nvSpPr>
      <xdr:spPr>
        <a:xfrm>
          <a:off x="236650" y="3601196"/>
          <a:ext cx="2446915" cy="175674"/>
        </a:xfrm>
        <a:prstGeom prst="roundRect">
          <a:avLst/>
        </a:prstGeom>
        <a:solidFill>
          <a:srgbClr val="C00000"/>
        </a:solidFill>
        <a:ln>
          <a:solidFill>
            <a:srgbClr val="9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Ограничења из члана 5. ст. (7) и (8)</a:t>
          </a:r>
          <a:endParaRPr lang="en-US" sz="1100"/>
        </a:p>
      </xdr:txBody>
    </xdr:sp>
    <xdr:clientData/>
  </xdr:twoCellAnchor>
  <xdr:twoCellAnchor>
    <xdr:from>
      <xdr:col>2</xdr:col>
      <xdr:colOff>71323</xdr:colOff>
      <xdr:row>17</xdr:row>
      <xdr:rowOff>138957</xdr:rowOff>
    </xdr:from>
    <xdr:to>
      <xdr:col>3</xdr:col>
      <xdr:colOff>2369</xdr:colOff>
      <xdr:row>19</xdr:row>
      <xdr:rowOff>76118</xdr:rowOff>
    </xdr:to>
    <xdr:cxnSp macro="">
      <xdr:nvCxnSpPr>
        <xdr:cNvPr id="31" name="Connector: Elbow 30">
          <a:extLst>
            <a:ext uri="{FF2B5EF4-FFF2-40B4-BE49-F238E27FC236}">
              <a16:creationId xmlns:a16="http://schemas.microsoft.com/office/drawing/2014/main" id="{9DFBD1B6-DE30-2E40-F5BA-19F79E50ED43}"/>
            </a:ext>
          </a:extLst>
        </xdr:cNvPr>
        <xdr:cNvCxnSpPr>
          <a:stCxn id="23" idx="2"/>
          <a:endCxn id="29" idx="0"/>
        </xdr:cNvCxnSpPr>
      </xdr:nvCxnSpPr>
      <xdr:spPr>
        <a:xfrm rot="16200000" flipH="1">
          <a:off x="1035674" y="3176762"/>
          <a:ext cx="308222" cy="540646"/>
        </a:xfrm>
        <a:prstGeom prst="bentConnector3">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453242</xdr:colOff>
      <xdr:row>21</xdr:row>
      <xdr:rowOff>156186</xdr:rowOff>
    </xdr:from>
    <xdr:to>
      <xdr:col>2</xdr:col>
      <xdr:colOff>79862</xdr:colOff>
      <xdr:row>23</xdr:row>
      <xdr:rowOff>175981</xdr:rowOff>
    </xdr:to>
    <xdr:sp macro="" textlink="">
      <xdr:nvSpPr>
        <xdr:cNvPr id="32" name="Rectangle: Rounded Corners 31">
          <a:extLst>
            <a:ext uri="{FF2B5EF4-FFF2-40B4-BE49-F238E27FC236}">
              <a16:creationId xmlns:a16="http://schemas.microsoft.com/office/drawing/2014/main" id="{1ADA84DE-7EEB-4514-9BBC-C40D371AB2D6}"/>
            </a:ext>
          </a:extLst>
        </xdr:cNvPr>
        <xdr:cNvSpPr/>
      </xdr:nvSpPr>
      <xdr:spPr>
        <a:xfrm>
          <a:off x="453242" y="3870936"/>
          <a:ext cx="851263" cy="373581"/>
        </a:xfrm>
        <a:prstGeom prst="roundRect">
          <a:avLst/>
        </a:prstGeom>
        <a:solidFill>
          <a:srgbClr val="C00000"/>
        </a:solidFill>
        <a:ln>
          <a:solidFill>
            <a:srgbClr val="9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90%</a:t>
          </a:r>
          <a:endParaRPr lang="en-US" sz="1100"/>
        </a:p>
      </xdr:txBody>
    </xdr:sp>
    <xdr:clientData/>
  </xdr:twoCellAnchor>
  <xdr:twoCellAnchor>
    <xdr:from>
      <xdr:col>3</xdr:col>
      <xdr:colOff>61085</xdr:colOff>
      <xdr:row>21</xdr:row>
      <xdr:rowOff>176751</xdr:rowOff>
    </xdr:from>
    <xdr:to>
      <xdr:col>4</xdr:col>
      <xdr:colOff>281393</xdr:colOff>
      <xdr:row>23</xdr:row>
      <xdr:rowOff>162646</xdr:rowOff>
    </xdr:to>
    <xdr:sp macro="" textlink="">
      <xdr:nvSpPr>
        <xdr:cNvPr id="33" name="Rectangle: Rounded Corners 32">
          <a:extLst>
            <a:ext uri="{FF2B5EF4-FFF2-40B4-BE49-F238E27FC236}">
              <a16:creationId xmlns:a16="http://schemas.microsoft.com/office/drawing/2014/main" id="{D5166F98-8D9B-40A2-9554-52A715C0B19C}"/>
            </a:ext>
          </a:extLst>
        </xdr:cNvPr>
        <xdr:cNvSpPr/>
      </xdr:nvSpPr>
      <xdr:spPr>
        <a:xfrm>
          <a:off x="1899824" y="4003316"/>
          <a:ext cx="833221" cy="350330"/>
        </a:xfrm>
        <a:prstGeom prst="roundRect">
          <a:avLst/>
        </a:prstGeom>
        <a:solidFill>
          <a:srgbClr val="E76321"/>
        </a:solidFill>
        <a:ln>
          <a:solidFill>
            <a:schemeClr val="accent2">
              <a:lumMod val="50000"/>
            </a:schemeClr>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lang="sr-Cyrl-BA" sz="1100"/>
            <a:t>5 година</a:t>
          </a:r>
          <a:endParaRPr lang="en-US" sz="1100"/>
        </a:p>
      </xdr:txBody>
    </xdr:sp>
    <xdr:clientData/>
  </xdr:twoCellAnchor>
  <xdr:twoCellAnchor>
    <xdr:from>
      <xdr:col>2</xdr:col>
      <xdr:colOff>79863</xdr:colOff>
      <xdr:row>20</xdr:row>
      <xdr:rowOff>66261</xdr:rowOff>
    </xdr:from>
    <xdr:to>
      <xdr:col>3</xdr:col>
      <xdr:colOff>2370</xdr:colOff>
      <xdr:row>22</xdr:row>
      <xdr:rowOff>166083</xdr:rowOff>
    </xdr:to>
    <xdr:cxnSp macro="">
      <xdr:nvCxnSpPr>
        <xdr:cNvPr id="39" name="Connector: Elbow 38">
          <a:extLst>
            <a:ext uri="{FF2B5EF4-FFF2-40B4-BE49-F238E27FC236}">
              <a16:creationId xmlns:a16="http://schemas.microsoft.com/office/drawing/2014/main" id="{66C27C31-B708-A799-211E-7402D9E4C45F}"/>
            </a:ext>
          </a:extLst>
        </xdr:cNvPr>
        <xdr:cNvCxnSpPr>
          <a:stCxn id="29" idx="2"/>
          <a:endCxn id="32" idx="3"/>
        </xdr:cNvCxnSpPr>
      </xdr:nvCxnSpPr>
      <xdr:spPr>
        <a:xfrm rot="5400000">
          <a:off x="958614" y="3746258"/>
          <a:ext cx="470883" cy="532107"/>
        </a:xfrm>
        <a:prstGeom prst="bentConnector2">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2369</xdr:colOff>
      <xdr:row>20</xdr:row>
      <xdr:rowOff>66261</xdr:rowOff>
    </xdr:from>
    <xdr:to>
      <xdr:col>3</xdr:col>
      <xdr:colOff>61085</xdr:colOff>
      <xdr:row>22</xdr:row>
      <xdr:rowOff>169698</xdr:rowOff>
    </xdr:to>
    <xdr:cxnSp macro="">
      <xdr:nvCxnSpPr>
        <xdr:cNvPr id="41" name="Connector: Elbow 40">
          <a:extLst>
            <a:ext uri="{FF2B5EF4-FFF2-40B4-BE49-F238E27FC236}">
              <a16:creationId xmlns:a16="http://schemas.microsoft.com/office/drawing/2014/main" id="{1BAC9232-FB45-C016-23EB-68A596B25C7C}"/>
            </a:ext>
          </a:extLst>
        </xdr:cNvPr>
        <xdr:cNvCxnSpPr>
          <a:stCxn id="33" idx="1"/>
          <a:endCxn id="29" idx="2"/>
        </xdr:cNvCxnSpPr>
      </xdr:nvCxnSpPr>
      <xdr:spPr>
        <a:xfrm rot="10800000">
          <a:off x="1460108" y="3776870"/>
          <a:ext cx="58716" cy="474498"/>
        </a:xfrm>
        <a:prstGeom prst="bentConnector2">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112421</xdr:colOff>
      <xdr:row>15</xdr:row>
      <xdr:rowOff>2542</xdr:rowOff>
    </xdr:from>
    <xdr:to>
      <xdr:col>10</xdr:col>
      <xdr:colOff>421593</xdr:colOff>
      <xdr:row>17</xdr:row>
      <xdr:rowOff>138685</xdr:rowOff>
    </xdr:to>
    <xdr:sp macro="" textlink="">
      <xdr:nvSpPr>
        <xdr:cNvPr id="42" name="Rectangle: Rounded Corners 41">
          <a:extLst>
            <a:ext uri="{FF2B5EF4-FFF2-40B4-BE49-F238E27FC236}">
              <a16:creationId xmlns:a16="http://schemas.microsoft.com/office/drawing/2014/main" id="{BB7E8D83-15DC-461B-A977-C29168DC4A43}"/>
            </a:ext>
          </a:extLst>
        </xdr:cNvPr>
        <xdr:cNvSpPr/>
      </xdr:nvSpPr>
      <xdr:spPr>
        <a:xfrm>
          <a:off x="5010992" y="2655935"/>
          <a:ext cx="1533815" cy="489929"/>
        </a:xfrm>
        <a:prstGeom prst="roundRect">
          <a:avLst/>
        </a:prstGeom>
        <a:solidFill>
          <a:srgbClr val="186E94"/>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Константна компонента</a:t>
          </a:r>
          <a:endParaRPr lang="en-US" sz="1100"/>
        </a:p>
      </xdr:txBody>
    </xdr:sp>
    <xdr:clientData/>
  </xdr:twoCellAnchor>
  <xdr:twoCellAnchor>
    <xdr:from>
      <xdr:col>11</xdr:col>
      <xdr:colOff>112421</xdr:colOff>
      <xdr:row>14</xdr:row>
      <xdr:rowOff>176867</xdr:rowOff>
    </xdr:from>
    <xdr:to>
      <xdr:col>13</xdr:col>
      <xdr:colOff>421592</xdr:colOff>
      <xdr:row>17</xdr:row>
      <xdr:rowOff>153262</xdr:rowOff>
    </xdr:to>
    <xdr:sp macro="" textlink="">
      <xdr:nvSpPr>
        <xdr:cNvPr id="43" name="Rectangle: Rounded Corners 42">
          <a:extLst>
            <a:ext uri="{FF2B5EF4-FFF2-40B4-BE49-F238E27FC236}">
              <a16:creationId xmlns:a16="http://schemas.microsoft.com/office/drawing/2014/main" id="{63995EF4-4337-41D5-9C10-6CA4971D7868}"/>
            </a:ext>
          </a:extLst>
        </xdr:cNvPr>
        <xdr:cNvSpPr/>
      </xdr:nvSpPr>
      <xdr:spPr>
        <a:xfrm>
          <a:off x="6801902" y="2741290"/>
          <a:ext cx="1525440" cy="525914"/>
        </a:xfrm>
        <a:prstGeom prst="roundRect">
          <a:avLst/>
        </a:prstGeom>
        <a:solidFill>
          <a:srgbClr val="1E8E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Промјенљива компонента</a:t>
          </a:r>
          <a:endParaRPr lang="en-US" sz="1100"/>
        </a:p>
      </xdr:txBody>
    </xdr:sp>
    <xdr:clientData/>
  </xdr:twoCellAnchor>
  <xdr:twoCellAnchor>
    <xdr:from>
      <xdr:col>9</xdr:col>
      <xdr:colOff>283201</xdr:colOff>
      <xdr:row>13</xdr:row>
      <xdr:rowOff>98294</xdr:rowOff>
    </xdr:from>
    <xdr:to>
      <xdr:col>11</xdr:col>
      <xdr:colOff>143333</xdr:colOff>
      <xdr:row>14</xdr:row>
      <xdr:rowOff>175625</xdr:rowOff>
    </xdr:to>
    <xdr:cxnSp macro="">
      <xdr:nvCxnSpPr>
        <xdr:cNvPr id="44" name="Connector: Elbow 43">
          <a:extLst>
            <a:ext uri="{FF2B5EF4-FFF2-40B4-BE49-F238E27FC236}">
              <a16:creationId xmlns:a16="http://schemas.microsoft.com/office/drawing/2014/main" id="{835E5376-EEDE-41F2-9285-A1F519BBB2B3}"/>
            </a:ext>
          </a:extLst>
        </xdr:cNvPr>
        <xdr:cNvCxnSpPr>
          <a:stCxn id="17" idx="2"/>
          <a:endCxn id="42" idx="0"/>
        </xdr:cNvCxnSpPr>
      </xdr:nvCxnSpPr>
      <xdr:spPr>
        <a:xfrm rot="5400000">
          <a:off x="6209370" y="1982625"/>
          <a:ext cx="254224" cy="1084775"/>
        </a:xfrm>
        <a:prstGeom prst="bentConnector3">
          <a:avLst>
            <a:gd name="adj1" fmla="val 47187"/>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149341</xdr:colOff>
      <xdr:row>13</xdr:row>
      <xdr:rowOff>94484</xdr:rowOff>
    </xdr:from>
    <xdr:to>
      <xdr:col>12</xdr:col>
      <xdr:colOff>267006</xdr:colOff>
      <xdr:row>14</xdr:row>
      <xdr:rowOff>173057</xdr:rowOff>
    </xdr:to>
    <xdr:cxnSp macro="">
      <xdr:nvCxnSpPr>
        <xdr:cNvPr id="45" name="Connector: Elbow 44">
          <a:extLst>
            <a:ext uri="{FF2B5EF4-FFF2-40B4-BE49-F238E27FC236}">
              <a16:creationId xmlns:a16="http://schemas.microsoft.com/office/drawing/2014/main" id="{7012713E-2451-4F47-A67E-BEBE88A32540}"/>
            </a:ext>
          </a:extLst>
        </xdr:cNvPr>
        <xdr:cNvCxnSpPr>
          <a:stCxn id="17" idx="2"/>
          <a:endCxn id="43" idx="0"/>
        </xdr:cNvCxnSpPr>
      </xdr:nvCxnSpPr>
      <xdr:spPr>
        <a:xfrm rot="16200000" flipH="1">
          <a:off x="7070849" y="2243707"/>
          <a:ext cx="261746" cy="725799"/>
        </a:xfrm>
        <a:prstGeom prst="bentConnector3">
          <a:avLst>
            <a:gd name="adj1" fmla="val 47116"/>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116146</xdr:colOff>
      <xdr:row>19</xdr:row>
      <xdr:rowOff>101001</xdr:rowOff>
    </xdr:from>
    <xdr:to>
      <xdr:col>12</xdr:col>
      <xdr:colOff>36018</xdr:colOff>
      <xdr:row>20</xdr:row>
      <xdr:rowOff>98563</xdr:rowOff>
    </xdr:to>
    <xdr:sp macro="" textlink="">
      <xdr:nvSpPr>
        <xdr:cNvPr id="46" name="Rectangle: Rounded Corners 45">
          <a:extLst>
            <a:ext uri="{FF2B5EF4-FFF2-40B4-BE49-F238E27FC236}">
              <a16:creationId xmlns:a16="http://schemas.microsoft.com/office/drawing/2014/main" id="{C3CAA5D7-51DF-4370-8B51-4F5E3C451F37}"/>
            </a:ext>
          </a:extLst>
        </xdr:cNvPr>
        <xdr:cNvSpPr/>
      </xdr:nvSpPr>
      <xdr:spPr>
        <a:xfrm>
          <a:off x="5014717" y="3461965"/>
          <a:ext cx="2369158" cy="174455"/>
        </a:xfrm>
        <a:prstGeom prst="roundRect">
          <a:avLst/>
        </a:prstGeom>
        <a:solidFill>
          <a:srgbClr val="C00000"/>
        </a:solidFill>
        <a:ln>
          <a:solidFill>
            <a:srgbClr val="9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Ограничења из члана 5. ст. </a:t>
          </a:r>
          <a:r>
            <a:rPr lang="sr-Cyrl-BA" sz="1100">
              <a:solidFill>
                <a:schemeClr val="lt1"/>
              </a:solidFill>
              <a:effectLst/>
              <a:latin typeface="+mn-lt"/>
              <a:ea typeface="+mn-ea"/>
              <a:cs typeface="+mn-cs"/>
            </a:rPr>
            <a:t>(7) и (8)</a:t>
          </a:r>
          <a:endParaRPr lang="en-US" sz="1100"/>
        </a:p>
      </xdr:txBody>
    </xdr:sp>
    <xdr:clientData/>
  </xdr:twoCellAnchor>
  <xdr:twoCellAnchor>
    <xdr:from>
      <xdr:col>9</xdr:col>
      <xdr:colOff>258434</xdr:colOff>
      <xdr:row>17</xdr:row>
      <xdr:rowOff>142494</xdr:rowOff>
    </xdr:from>
    <xdr:to>
      <xdr:col>10</xdr:col>
      <xdr:colOff>70368</xdr:colOff>
      <xdr:row>19</xdr:row>
      <xdr:rowOff>101000</xdr:rowOff>
    </xdr:to>
    <xdr:cxnSp macro="">
      <xdr:nvCxnSpPr>
        <xdr:cNvPr id="47" name="Connector: Elbow 46">
          <a:extLst>
            <a:ext uri="{FF2B5EF4-FFF2-40B4-BE49-F238E27FC236}">
              <a16:creationId xmlns:a16="http://schemas.microsoft.com/office/drawing/2014/main" id="{F6E02BF9-0745-4B27-9B7D-04A7C55F3A2F}"/>
            </a:ext>
          </a:extLst>
        </xdr:cNvPr>
        <xdr:cNvCxnSpPr>
          <a:stCxn id="42" idx="2"/>
          <a:endCxn id="46" idx="0"/>
        </xdr:cNvCxnSpPr>
      </xdr:nvCxnSpPr>
      <xdr:spPr>
        <a:xfrm rot="16200000" flipH="1">
          <a:off x="5825309" y="3093691"/>
          <a:ext cx="312291" cy="424255"/>
        </a:xfrm>
        <a:prstGeom prst="bentConnector3">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111758</xdr:colOff>
      <xdr:row>22</xdr:row>
      <xdr:rowOff>3786</xdr:rowOff>
    </xdr:from>
    <xdr:to>
      <xdr:col>9</xdr:col>
      <xdr:colOff>345576</xdr:colOff>
      <xdr:row>24</xdr:row>
      <xdr:rowOff>38821</xdr:rowOff>
    </xdr:to>
    <xdr:sp macro="" textlink="">
      <xdr:nvSpPr>
        <xdr:cNvPr id="48" name="Rectangle: Rounded Corners 47">
          <a:extLst>
            <a:ext uri="{FF2B5EF4-FFF2-40B4-BE49-F238E27FC236}">
              <a16:creationId xmlns:a16="http://schemas.microsoft.com/office/drawing/2014/main" id="{19F879C7-EE66-4D2E-B26C-EF8E640A763A}"/>
            </a:ext>
          </a:extLst>
        </xdr:cNvPr>
        <xdr:cNvSpPr/>
      </xdr:nvSpPr>
      <xdr:spPr>
        <a:xfrm>
          <a:off x="5010329" y="3895429"/>
          <a:ext cx="846140" cy="388821"/>
        </a:xfrm>
        <a:prstGeom prst="roundRect">
          <a:avLst/>
        </a:prstGeom>
        <a:solidFill>
          <a:srgbClr val="C00000"/>
        </a:solidFill>
        <a:ln>
          <a:solidFill>
            <a:srgbClr val="9E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70%</a:t>
          </a:r>
          <a:endParaRPr lang="en-US" sz="1100"/>
        </a:p>
      </xdr:txBody>
    </xdr:sp>
    <xdr:clientData/>
  </xdr:twoCellAnchor>
  <xdr:twoCellAnchor>
    <xdr:from>
      <xdr:col>10</xdr:col>
      <xdr:colOff>329408</xdr:colOff>
      <xdr:row>22</xdr:row>
      <xdr:rowOff>3431</xdr:rowOff>
    </xdr:from>
    <xdr:to>
      <xdr:col>12</xdr:col>
      <xdr:colOff>8055</xdr:colOff>
      <xdr:row>24</xdr:row>
      <xdr:rowOff>40371</xdr:rowOff>
    </xdr:to>
    <xdr:sp macro="" textlink="">
      <xdr:nvSpPr>
        <xdr:cNvPr id="49" name="Rectangle: Rounded Corners 48">
          <a:extLst>
            <a:ext uri="{FF2B5EF4-FFF2-40B4-BE49-F238E27FC236}">
              <a16:creationId xmlns:a16="http://schemas.microsoft.com/office/drawing/2014/main" id="{3EB249A0-12AE-42A4-A499-591CE82AEB4F}"/>
            </a:ext>
          </a:extLst>
        </xdr:cNvPr>
        <xdr:cNvSpPr/>
      </xdr:nvSpPr>
      <xdr:spPr>
        <a:xfrm>
          <a:off x="6452622" y="3895074"/>
          <a:ext cx="903290" cy="390726"/>
        </a:xfrm>
        <a:prstGeom prst="roundRect">
          <a:avLst/>
        </a:prstGeom>
        <a:solidFill>
          <a:srgbClr val="E76321"/>
        </a:solidFill>
        <a:ln>
          <a:solidFill>
            <a:schemeClr val="accent2">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sr-Cyrl-BA" sz="1100"/>
            <a:t>4,5 година</a:t>
          </a:r>
          <a:endParaRPr lang="en-US" sz="1100"/>
        </a:p>
      </xdr:txBody>
    </xdr:sp>
    <xdr:clientData/>
  </xdr:twoCellAnchor>
  <xdr:twoCellAnchor>
    <xdr:from>
      <xdr:col>9</xdr:col>
      <xdr:colOff>343671</xdr:colOff>
      <xdr:row>20</xdr:row>
      <xdr:rowOff>98563</xdr:rowOff>
    </xdr:from>
    <xdr:to>
      <xdr:col>10</xdr:col>
      <xdr:colOff>70368</xdr:colOff>
      <xdr:row>23</xdr:row>
      <xdr:rowOff>17494</xdr:rowOff>
    </xdr:to>
    <xdr:cxnSp macro="">
      <xdr:nvCxnSpPr>
        <xdr:cNvPr id="50" name="Connector: Elbow 49">
          <a:extLst>
            <a:ext uri="{FF2B5EF4-FFF2-40B4-BE49-F238E27FC236}">
              <a16:creationId xmlns:a16="http://schemas.microsoft.com/office/drawing/2014/main" id="{9777410D-A6BA-45EB-B214-43E82D8D9257}"/>
            </a:ext>
          </a:extLst>
        </xdr:cNvPr>
        <xdr:cNvCxnSpPr>
          <a:stCxn id="46" idx="2"/>
          <a:endCxn id="48" idx="3"/>
        </xdr:cNvCxnSpPr>
      </xdr:nvCxnSpPr>
      <xdr:spPr>
        <a:xfrm rot="5400000">
          <a:off x="5799268" y="3691716"/>
          <a:ext cx="449610" cy="339018"/>
        </a:xfrm>
        <a:prstGeom prst="bentConnector2">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67511</xdr:colOff>
      <xdr:row>20</xdr:row>
      <xdr:rowOff>102373</xdr:rowOff>
    </xdr:from>
    <xdr:to>
      <xdr:col>10</xdr:col>
      <xdr:colOff>331314</xdr:colOff>
      <xdr:row>23</xdr:row>
      <xdr:rowOff>18091</xdr:rowOff>
    </xdr:to>
    <xdr:cxnSp macro="">
      <xdr:nvCxnSpPr>
        <xdr:cNvPr id="51" name="Connector: Elbow 50">
          <a:extLst>
            <a:ext uri="{FF2B5EF4-FFF2-40B4-BE49-F238E27FC236}">
              <a16:creationId xmlns:a16="http://schemas.microsoft.com/office/drawing/2014/main" id="{FE707C96-F342-4349-9F9D-B53CC4D08BE3}"/>
            </a:ext>
          </a:extLst>
        </xdr:cNvPr>
        <xdr:cNvCxnSpPr>
          <a:stCxn id="49" idx="1"/>
          <a:endCxn id="46" idx="2"/>
        </xdr:cNvCxnSpPr>
      </xdr:nvCxnSpPr>
      <xdr:spPr>
        <a:xfrm rot="10800000">
          <a:off x="6190725" y="3640230"/>
          <a:ext cx="263803" cy="446397"/>
        </a:xfrm>
        <a:prstGeom prst="bentConnector2">
          <a:avLst/>
        </a:prstGeom>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ineh\mail\AUCTION\W_02_09\24100_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UCTION\W_07_14\24100_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usineh\buletin\Documents%20and%20Settings\Rate2004\Rate_04\10_12_03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ÚàôÜÆ´²ÜÎ"/>
      <sheetName val="Sheet2"/>
      <sheetName val="Mon-aggre"/>
    </sheetNames>
    <sheetDataSet>
      <sheetData sheetId="0"/>
      <sheetData sheetId="1" refreshError="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ÚàôÜÆ´²ÜÎ"/>
      <sheetName val="Sheet2"/>
      <sheetName val="Mon-agg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ñ·ñ³íí³Í"/>
      <sheetName val="î»Õ³µ³ßËí³Í"/>
    </sheetNames>
    <sheetDataSet>
      <sheetData sheetId="0">
        <row r="5">
          <cell r="E5">
            <v>37900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90A6C-3BC3-4FEF-84B7-4461A38739D2}">
  <sheetPr codeName="Sheet1"/>
  <dimension ref="B5:T29"/>
  <sheetViews>
    <sheetView showGridLines="0" tabSelected="1" zoomScale="115" zoomScaleNormal="115" workbookViewId="0">
      <selection activeCell="S10" sqref="S10"/>
    </sheetView>
  </sheetViews>
  <sheetFormatPr defaultRowHeight="14.4" x14ac:dyDescent="0.3"/>
  <cols>
    <col min="1" max="1" width="3.44140625" customWidth="1"/>
    <col min="17" max="17" width="3.33203125" customWidth="1"/>
    <col min="18" max="18" width="49.33203125" bestFit="1" customWidth="1"/>
    <col min="20" max="20" width="11.6640625" customWidth="1"/>
  </cols>
  <sheetData>
    <row r="5" spans="18:20" x14ac:dyDescent="0.3">
      <c r="R5" s="179" t="s">
        <v>252</v>
      </c>
    </row>
    <row r="7" spans="18:20" ht="28.8" x14ac:dyDescent="0.3">
      <c r="R7" s="180" t="s">
        <v>250</v>
      </c>
      <c r="S7" s="549" t="s">
        <v>251</v>
      </c>
      <c r="T7" s="548" t="s">
        <v>259</v>
      </c>
    </row>
    <row r="8" spans="18:20" x14ac:dyDescent="0.3">
      <c r="R8" s="181" t="s">
        <v>12</v>
      </c>
      <c r="S8" s="169">
        <v>0.8</v>
      </c>
      <c r="T8" s="170">
        <v>1.2</v>
      </c>
    </row>
    <row r="9" spans="18:20" x14ac:dyDescent="0.3">
      <c r="R9" s="181" t="s">
        <v>13</v>
      </c>
      <c r="S9" s="169">
        <v>1.2</v>
      </c>
      <c r="T9" s="170">
        <v>0.8</v>
      </c>
    </row>
    <row r="10" spans="18:20" x14ac:dyDescent="0.3">
      <c r="R10" s="544" t="s">
        <v>14</v>
      </c>
      <c r="S10" s="545">
        <v>0.8</v>
      </c>
      <c r="T10" s="547">
        <v>0.8</v>
      </c>
    </row>
    <row r="11" spans="18:20" x14ac:dyDescent="0.3">
      <c r="R11" s="544" t="s">
        <v>15</v>
      </c>
      <c r="S11" s="545">
        <v>1.2</v>
      </c>
      <c r="T11" s="547">
        <v>1.2</v>
      </c>
    </row>
    <row r="12" spans="18:20" x14ac:dyDescent="0.3">
      <c r="R12" s="181" t="s">
        <v>16</v>
      </c>
      <c r="S12" s="169">
        <v>0.8</v>
      </c>
      <c r="T12" s="170">
        <v>1.2</v>
      </c>
    </row>
    <row r="13" spans="18:20" x14ac:dyDescent="0.3">
      <c r="R13" s="182" t="s">
        <v>17</v>
      </c>
      <c r="S13" s="171">
        <v>1.2</v>
      </c>
      <c r="T13" s="172">
        <v>0.8</v>
      </c>
    </row>
    <row r="29" spans="2:2" x14ac:dyDescent="0.3">
      <c r="B29" s="543" t="s">
        <v>258</v>
      </c>
    </row>
  </sheetData>
  <sheetProtection algorithmName="SHA-512" hashValue="SNL3TlmZyiWds9XvaKUNiWcxH/EZYwwph44EFF9LXC8acq3aGTfYk1osLPub0jFvBodx0/rl0JgS/ApdOAXyow==" saltValue="JnScoZ21inroERmYGRPKcQ==" spinCount="100000" sheet="1" objects="1" scenarios="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DAEFC-C005-4B41-AB0F-3D3ED59C96AE}">
  <sheetPr codeName="Sheet2">
    <tabColor theme="0" tint="-4.9989318521683403E-2"/>
    <outlinePr summaryBelow="0" summaryRight="0"/>
  </sheetPr>
  <dimension ref="A1:Y157"/>
  <sheetViews>
    <sheetView showGridLines="0" zoomScale="120" zoomScaleNormal="120" workbookViewId="0">
      <selection activeCell="B1" sqref="B1:M1"/>
    </sheetView>
  </sheetViews>
  <sheetFormatPr defaultColWidth="8.6640625" defaultRowHeight="14.4" outlineLevelRow="3" x14ac:dyDescent="0.3"/>
  <cols>
    <col min="1" max="1" width="2.6640625" style="1" customWidth="1"/>
    <col min="2" max="2" width="36.33203125" style="1" customWidth="1"/>
    <col min="3" max="10" width="9" style="3" customWidth="1"/>
    <col min="11" max="12" width="9.33203125" style="3" customWidth="1"/>
    <col min="13" max="21" width="9" style="3" customWidth="1"/>
    <col min="22" max="22" width="6.6640625" style="1" customWidth="1"/>
    <col min="23" max="23" width="6.6640625" style="2" customWidth="1"/>
    <col min="24" max="24" width="8.6640625" customWidth="1"/>
  </cols>
  <sheetData>
    <row r="1" spans="2:25" ht="313.8" customHeight="1" x14ac:dyDescent="0.3">
      <c r="B1" s="566" t="s">
        <v>266</v>
      </c>
      <c r="C1" s="567"/>
      <c r="D1" s="567"/>
      <c r="E1" s="567"/>
      <c r="F1" s="567"/>
      <c r="G1" s="567"/>
      <c r="H1" s="567"/>
      <c r="I1" s="567"/>
      <c r="J1" s="567"/>
      <c r="K1" s="567"/>
      <c r="L1" s="567"/>
      <c r="M1" s="568"/>
    </row>
    <row r="2" spans="2:25" s="1" customFormat="1" ht="14.4" customHeight="1" x14ac:dyDescent="0.3">
      <c r="C2" s="3"/>
      <c r="D2" s="3"/>
      <c r="E2" s="3"/>
      <c r="F2" s="3"/>
      <c r="G2" s="3"/>
      <c r="H2" s="3"/>
      <c r="I2" s="3"/>
      <c r="J2" s="3"/>
      <c r="K2" s="3"/>
      <c r="L2" s="3"/>
      <c r="M2" s="3"/>
      <c r="N2" s="3"/>
      <c r="O2" s="3"/>
      <c r="P2" s="3"/>
      <c r="Q2" s="3"/>
      <c r="R2" s="3"/>
      <c r="S2" s="3"/>
      <c r="T2" s="3"/>
      <c r="U2" s="3"/>
      <c r="W2" s="2"/>
      <c r="X2"/>
      <c r="Y2"/>
    </row>
    <row r="3" spans="2:25" s="1" customFormat="1" x14ac:dyDescent="0.3">
      <c r="B3" s="198" t="s">
        <v>11</v>
      </c>
      <c r="C3" s="195" t="s">
        <v>0</v>
      </c>
      <c r="D3" s="195" t="s">
        <v>2</v>
      </c>
      <c r="E3" s="196" t="s">
        <v>3</v>
      </c>
      <c r="F3" s="195" t="s">
        <v>4</v>
      </c>
      <c r="G3" s="196" t="s">
        <v>5</v>
      </c>
      <c r="H3" s="196" t="s">
        <v>6</v>
      </c>
      <c r="I3" s="195" t="s">
        <v>19</v>
      </c>
      <c r="J3" s="196" t="s">
        <v>20</v>
      </c>
      <c r="K3" s="195" t="s">
        <v>21</v>
      </c>
      <c r="L3" s="195" t="s">
        <v>22</v>
      </c>
      <c r="M3" s="195" t="s">
        <v>23</v>
      </c>
      <c r="N3" s="195" t="s">
        <v>24</v>
      </c>
      <c r="O3" s="195" t="s">
        <v>25</v>
      </c>
      <c r="P3" s="195" t="s">
        <v>26</v>
      </c>
      <c r="Q3" s="195" t="s">
        <v>27</v>
      </c>
      <c r="R3" s="196" t="s">
        <v>28</v>
      </c>
      <c r="S3" s="195" t="s">
        <v>29</v>
      </c>
      <c r="T3" s="195" t="s">
        <v>30</v>
      </c>
      <c r="U3" s="197" t="s">
        <v>31</v>
      </c>
      <c r="W3" s="2"/>
      <c r="X3"/>
      <c r="Y3"/>
    </row>
    <row r="4" spans="2:25" s="1" customFormat="1" ht="14.7" customHeight="1" outlineLevel="1" x14ac:dyDescent="0.3">
      <c r="B4" s="245" t="s">
        <v>18</v>
      </c>
      <c r="C4" s="183"/>
      <c r="D4" s="183"/>
      <c r="E4" s="183"/>
      <c r="F4" s="183"/>
      <c r="G4" s="183"/>
      <c r="H4" s="183"/>
      <c r="I4" s="183"/>
      <c r="J4" s="183"/>
      <c r="K4" s="183"/>
      <c r="L4" s="183"/>
      <c r="M4" s="183"/>
      <c r="N4" s="183"/>
      <c r="O4" s="183"/>
      <c r="P4" s="183"/>
      <c r="Q4" s="183"/>
      <c r="R4" s="183"/>
      <c r="S4" s="183"/>
      <c r="T4" s="183"/>
      <c r="U4" s="189"/>
      <c r="W4" s="2"/>
      <c r="X4"/>
      <c r="Y4"/>
    </row>
    <row r="5" spans="2:25" outlineLevel="2" x14ac:dyDescent="0.3">
      <c r="B5" s="200" t="s">
        <v>44</v>
      </c>
      <c r="C5" s="206">
        <f>SUM(C11,C17,C23)</f>
        <v>0</v>
      </c>
      <c r="D5" s="206">
        <f t="shared" ref="D5:U5" si="0">SUM(D11,D17,D23)</f>
        <v>0</v>
      </c>
      <c r="E5" s="206">
        <f t="shared" si="0"/>
        <v>0</v>
      </c>
      <c r="F5" s="206">
        <f t="shared" si="0"/>
        <v>0</v>
      </c>
      <c r="G5" s="206">
        <f t="shared" si="0"/>
        <v>0</v>
      </c>
      <c r="H5" s="206">
        <f t="shared" si="0"/>
        <v>40</v>
      </c>
      <c r="I5" s="206">
        <f t="shared" si="0"/>
        <v>0</v>
      </c>
      <c r="J5" s="206">
        <f t="shared" si="0"/>
        <v>0</v>
      </c>
      <c r="K5" s="206">
        <f t="shared" si="0"/>
        <v>0</v>
      </c>
      <c r="L5" s="206">
        <f t="shared" si="0"/>
        <v>80</v>
      </c>
      <c r="M5" s="206">
        <f t="shared" si="0"/>
        <v>0</v>
      </c>
      <c r="N5" s="206">
        <f t="shared" si="0"/>
        <v>0</v>
      </c>
      <c r="O5" s="206">
        <f t="shared" si="0"/>
        <v>40</v>
      </c>
      <c r="P5" s="206">
        <f t="shared" si="0"/>
        <v>0</v>
      </c>
      <c r="Q5" s="206">
        <f t="shared" si="0"/>
        <v>0</v>
      </c>
      <c r="R5" s="206">
        <f t="shared" si="0"/>
        <v>40</v>
      </c>
      <c r="S5" s="206">
        <f t="shared" si="0"/>
        <v>0</v>
      </c>
      <c r="T5" s="206">
        <f t="shared" si="0"/>
        <v>0</v>
      </c>
      <c r="U5" s="207">
        <f t="shared" si="0"/>
        <v>0</v>
      </c>
    </row>
    <row r="6" spans="2:25" outlineLevel="2" x14ac:dyDescent="0.3">
      <c r="B6" s="200" t="s">
        <v>45</v>
      </c>
      <c r="C6" s="183">
        <f>SUM(C10,C12,C16,C18,C22,C24,C25)</f>
        <v>70</v>
      </c>
      <c r="D6" s="183"/>
      <c r="E6" s="183"/>
      <c r="F6" s="183"/>
      <c r="G6" s="183"/>
      <c r="H6" s="183"/>
      <c r="I6" s="183"/>
      <c r="J6" s="183"/>
      <c r="K6" s="183"/>
      <c r="L6" s="183"/>
      <c r="M6" s="183"/>
      <c r="N6" s="183"/>
      <c r="O6" s="183"/>
      <c r="P6" s="183"/>
      <c r="Q6" s="183"/>
      <c r="R6" s="183"/>
      <c r="S6" s="183"/>
      <c r="T6" s="183"/>
      <c r="U6" s="189"/>
    </row>
    <row r="7" spans="2:25" s="1" customFormat="1" ht="14.7" customHeight="1" outlineLevel="2" x14ac:dyDescent="0.3">
      <c r="B7" s="200" t="s">
        <v>32</v>
      </c>
      <c r="C7" s="569" t="s">
        <v>42</v>
      </c>
      <c r="D7" s="569"/>
      <c r="E7" s="572">
        <v>0.2</v>
      </c>
      <c r="F7" s="573"/>
      <c r="G7" s="208"/>
      <c r="H7" s="208"/>
      <c r="I7" s="208"/>
      <c r="J7" s="208"/>
      <c r="K7" s="571" t="s">
        <v>49</v>
      </c>
      <c r="L7" s="570"/>
      <c r="M7" s="572">
        <v>0.9</v>
      </c>
      <c r="N7" s="573"/>
      <c r="O7" s="208"/>
      <c r="P7" s="208"/>
      <c r="Q7" s="208"/>
      <c r="R7" s="208"/>
      <c r="S7" s="208"/>
      <c r="T7" s="208"/>
      <c r="U7" s="209"/>
      <c r="W7" s="2"/>
      <c r="X7"/>
      <c r="Y7"/>
    </row>
    <row r="8" spans="2:25" s="1" customFormat="1" ht="14.7" customHeight="1" outlineLevel="3" x14ac:dyDescent="0.3">
      <c r="B8" s="202" t="s">
        <v>34</v>
      </c>
      <c r="C8" s="201">
        <v>110</v>
      </c>
      <c r="D8" s="184"/>
      <c r="E8" s="184"/>
      <c r="F8" s="184"/>
      <c r="G8" s="184"/>
      <c r="H8" s="184"/>
      <c r="I8" s="184"/>
      <c r="J8" s="184"/>
      <c r="K8" s="184"/>
      <c r="L8" s="184"/>
      <c r="M8" s="184"/>
      <c r="N8" s="184"/>
      <c r="O8" s="184"/>
      <c r="P8" s="184"/>
      <c r="Q8" s="184"/>
      <c r="R8" s="184"/>
      <c r="S8" s="184"/>
      <c r="T8" s="184"/>
      <c r="U8" s="190"/>
      <c r="W8" s="2"/>
      <c r="X8"/>
      <c r="Y8"/>
    </row>
    <row r="9" spans="2:25" s="1" customFormat="1" ht="14.7" customHeight="1" outlineLevel="3" x14ac:dyDescent="0.3">
      <c r="B9" s="203" t="s">
        <v>36</v>
      </c>
      <c r="C9" s="184">
        <f>SUM(C11:C12)</f>
        <v>20</v>
      </c>
      <c r="D9" s="184">
        <f>SUM(D11:D12)</f>
        <v>0</v>
      </c>
      <c r="E9" s="184">
        <f t="shared" ref="E9:U9" si="1">SUM(E11:E12)</f>
        <v>0</v>
      </c>
      <c r="F9" s="184">
        <f t="shared" si="1"/>
        <v>0</v>
      </c>
      <c r="G9" s="184">
        <f t="shared" si="1"/>
        <v>0</v>
      </c>
      <c r="H9" s="184">
        <f t="shared" si="1"/>
        <v>40</v>
      </c>
      <c r="I9" s="184">
        <f t="shared" si="1"/>
        <v>0</v>
      </c>
      <c r="J9" s="184">
        <f t="shared" si="1"/>
        <v>0</v>
      </c>
      <c r="K9" s="184">
        <f t="shared" si="1"/>
        <v>0</v>
      </c>
      <c r="L9" s="184">
        <f t="shared" si="1"/>
        <v>40</v>
      </c>
      <c r="M9" s="184">
        <f t="shared" si="1"/>
        <v>0</v>
      </c>
      <c r="N9" s="184">
        <f t="shared" si="1"/>
        <v>0</v>
      </c>
      <c r="O9" s="184">
        <f t="shared" si="1"/>
        <v>0</v>
      </c>
      <c r="P9" s="184">
        <f t="shared" si="1"/>
        <v>0</v>
      </c>
      <c r="Q9" s="184">
        <f t="shared" si="1"/>
        <v>0</v>
      </c>
      <c r="R9" s="184">
        <f t="shared" si="1"/>
        <v>0</v>
      </c>
      <c r="S9" s="184">
        <f t="shared" si="1"/>
        <v>0</v>
      </c>
      <c r="T9" s="184">
        <f t="shared" si="1"/>
        <v>0</v>
      </c>
      <c r="U9" s="190">
        <f t="shared" si="1"/>
        <v>0</v>
      </c>
      <c r="W9" s="2"/>
      <c r="X9"/>
      <c r="Y9"/>
    </row>
    <row r="10" spans="2:25" s="1" customFormat="1" ht="14.7" customHeight="1" outlineLevel="3" x14ac:dyDescent="0.3">
      <c r="B10" s="203" t="s">
        <v>37</v>
      </c>
      <c r="C10" s="201">
        <v>10</v>
      </c>
      <c r="D10" s="184"/>
      <c r="E10" s="184"/>
      <c r="F10" s="184"/>
      <c r="G10" s="184"/>
      <c r="H10" s="184"/>
      <c r="I10" s="184"/>
      <c r="J10" s="184"/>
      <c r="K10" s="184"/>
      <c r="L10" s="184"/>
      <c r="M10" s="184"/>
      <c r="N10" s="184"/>
      <c r="O10" s="184"/>
      <c r="P10" s="184"/>
      <c r="Q10" s="184"/>
      <c r="R10" s="184"/>
      <c r="S10" s="184"/>
      <c r="T10" s="184"/>
      <c r="U10" s="190"/>
      <c r="W10" s="2"/>
      <c r="X10"/>
      <c r="Y10"/>
    </row>
    <row r="11" spans="2:25" s="1" customFormat="1" ht="14.7" customHeight="1" outlineLevel="3" x14ac:dyDescent="0.3">
      <c r="B11" s="204" t="s">
        <v>47</v>
      </c>
      <c r="C11" s="185"/>
      <c r="D11" s="185"/>
      <c r="E11" s="185"/>
      <c r="F11" s="185"/>
      <c r="G11" s="185"/>
      <c r="H11" s="185">
        <v>40</v>
      </c>
      <c r="I11" s="185"/>
      <c r="J11" s="185"/>
      <c r="K11" s="185"/>
      <c r="L11" s="185">
        <v>40</v>
      </c>
      <c r="M11" s="185"/>
      <c r="N11" s="185"/>
      <c r="O11" s="185"/>
      <c r="P11" s="185"/>
      <c r="Q11" s="185"/>
      <c r="R11" s="185"/>
      <c r="S11" s="185"/>
      <c r="T11" s="185"/>
      <c r="U11" s="191"/>
      <c r="W11" s="2"/>
      <c r="X11"/>
      <c r="Y11"/>
    </row>
    <row r="12" spans="2:25" s="1" customFormat="1" ht="14.7" customHeight="1" outlineLevel="3" x14ac:dyDescent="0.3">
      <c r="B12" s="205" t="s">
        <v>48</v>
      </c>
      <c r="C12" s="184">
        <f>(C8-C10)*E7</f>
        <v>20</v>
      </c>
      <c r="D12" s="184"/>
      <c r="E12" s="5"/>
      <c r="F12" s="5"/>
      <c r="G12" s="184"/>
      <c r="H12" s="184"/>
      <c r="I12" s="184"/>
      <c r="J12" s="184"/>
      <c r="K12" s="184"/>
      <c r="L12" s="184"/>
      <c r="M12" s="184"/>
      <c r="N12" s="184"/>
      <c r="O12" s="184"/>
      <c r="P12" s="184"/>
      <c r="Q12" s="184"/>
      <c r="R12" s="184"/>
      <c r="S12" s="184"/>
      <c r="T12" s="184"/>
      <c r="U12" s="190"/>
      <c r="W12" s="2"/>
      <c r="X12"/>
      <c r="Y12"/>
    </row>
    <row r="13" spans="2:25" s="1" customFormat="1" ht="14.7" customHeight="1" outlineLevel="2" x14ac:dyDescent="0.3">
      <c r="B13" s="200" t="s">
        <v>46</v>
      </c>
      <c r="C13" s="569" t="s">
        <v>42</v>
      </c>
      <c r="D13" s="570"/>
      <c r="E13" s="572">
        <v>0.2</v>
      </c>
      <c r="F13" s="573"/>
      <c r="G13" s="210"/>
      <c r="H13" s="208"/>
      <c r="I13" s="208"/>
      <c r="J13" s="208"/>
      <c r="K13" s="571" t="s">
        <v>49</v>
      </c>
      <c r="L13" s="570"/>
      <c r="M13" s="572">
        <v>0.7</v>
      </c>
      <c r="N13" s="573"/>
      <c r="O13" s="208"/>
      <c r="P13" s="208"/>
      <c r="Q13" s="208"/>
      <c r="R13" s="208"/>
      <c r="S13" s="208"/>
      <c r="T13" s="208"/>
      <c r="U13" s="209"/>
      <c r="W13" s="2"/>
      <c r="X13"/>
      <c r="Y13"/>
    </row>
    <row r="14" spans="2:25" s="1" customFormat="1" ht="14.7" customHeight="1" outlineLevel="3" x14ac:dyDescent="0.3">
      <c r="B14" s="203" t="s">
        <v>34</v>
      </c>
      <c r="C14" s="201">
        <v>120</v>
      </c>
      <c r="D14" s="184"/>
      <c r="E14" s="4"/>
      <c r="F14" s="4"/>
      <c r="G14" s="184"/>
      <c r="H14" s="184"/>
      <c r="I14" s="184"/>
      <c r="J14" s="184"/>
      <c r="K14" s="184"/>
      <c r="L14" s="184"/>
      <c r="M14" s="184"/>
      <c r="N14" s="184"/>
      <c r="O14" s="184"/>
      <c r="P14" s="184"/>
      <c r="Q14" s="184"/>
      <c r="R14" s="184"/>
      <c r="S14" s="184"/>
      <c r="T14" s="184"/>
      <c r="U14" s="190"/>
      <c r="W14" s="2"/>
      <c r="X14"/>
      <c r="Y14"/>
    </row>
    <row r="15" spans="2:25" s="1" customFormat="1" ht="14.7" customHeight="1" outlineLevel="3" x14ac:dyDescent="0.3">
      <c r="B15" s="203" t="s">
        <v>36</v>
      </c>
      <c r="C15" s="184">
        <f>SUM(C17:C18)</f>
        <v>20</v>
      </c>
      <c r="D15" s="184">
        <f>SUM(D17:D18)</f>
        <v>0</v>
      </c>
      <c r="E15" s="184">
        <f t="shared" ref="E15:U15" si="2">SUM(E17:E18)</f>
        <v>0</v>
      </c>
      <c r="F15" s="184">
        <f t="shared" si="2"/>
        <v>0</v>
      </c>
      <c r="G15" s="184">
        <f t="shared" si="2"/>
        <v>0</v>
      </c>
      <c r="H15" s="184">
        <f t="shared" si="2"/>
        <v>0</v>
      </c>
      <c r="I15" s="184">
        <f t="shared" si="2"/>
        <v>0</v>
      </c>
      <c r="J15" s="184">
        <f t="shared" si="2"/>
        <v>0</v>
      </c>
      <c r="K15" s="184">
        <f t="shared" si="2"/>
        <v>0</v>
      </c>
      <c r="L15" s="184">
        <f t="shared" si="2"/>
        <v>40</v>
      </c>
      <c r="M15" s="184">
        <f t="shared" si="2"/>
        <v>0</v>
      </c>
      <c r="N15" s="184">
        <f>SUM(N17:N18)</f>
        <v>0</v>
      </c>
      <c r="O15" s="184">
        <f t="shared" si="2"/>
        <v>40</v>
      </c>
      <c r="P15" s="184">
        <f t="shared" si="2"/>
        <v>0</v>
      </c>
      <c r="Q15" s="184">
        <f t="shared" si="2"/>
        <v>0</v>
      </c>
      <c r="R15" s="565">
        <f t="shared" si="2"/>
        <v>40</v>
      </c>
      <c r="S15" s="184">
        <f t="shared" si="2"/>
        <v>0</v>
      </c>
      <c r="T15" s="184">
        <f t="shared" si="2"/>
        <v>0</v>
      </c>
      <c r="U15" s="190">
        <f t="shared" si="2"/>
        <v>0</v>
      </c>
      <c r="W15" s="2"/>
      <c r="X15"/>
      <c r="Y15"/>
    </row>
    <row r="16" spans="2:25" s="1" customFormat="1" ht="14.7" customHeight="1" outlineLevel="3" x14ac:dyDescent="0.3">
      <c r="B16" s="203" t="s">
        <v>37</v>
      </c>
      <c r="C16" s="201">
        <v>20</v>
      </c>
      <c r="D16" s="184"/>
      <c r="E16" s="184"/>
      <c r="F16" s="184"/>
      <c r="G16" s="184"/>
      <c r="H16" s="184"/>
      <c r="I16" s="184"/>
      <c r="J16" s="184"/>
      <c r="K16" s="184"/>
      <c r="L16" s="184"/>
      <c r="M16" s="184"/>
      <c r="N16" s="184"/>
      <c r="O16" s="184"/>
      <c r="P16" s="184"/>
      <c r="Q16" s="184"/>
      <c r="R16" s="184"/>
      <c r="S16" s="184"/>
      <c r="T16" s="184"/>
      <c r="U16" s="190"/>
      <c r="W16" s="2"/>
      <c r="X16"/>
      <c r="Y16"/>
    </row>
    <row r="17" spans="2:25" s="1" customFormat="1" ht="14.7" customHeight="1" outlineLevel="3" x14ac:dyDescent="0.3">
      <c r="B17" s="204" t="s">
        <v>47</v>
      </c>
      <c r="C17" s="186"/>
      <c r="D17" s="186"/>
      <c r="E17" s="186"/>
      <c r="F17" s="186"/>
      <c r="G17" s="186"/>
      <c r="H17" s="186"/>
      <c r="I17" s="186"/>
      <c r="J17" s="186"/>
      <c r="K17" s="186"/>
      <c r="L17" s="186">
        <v>40</v>
      </c>
      <c r="M17" s="186"/>
      <c r="N17" s="186"/>
      <c r="O17" s="185">
        <v>40</v>
      </c>
      <c r="P17" s="186"/>
      <c r="Q17" s="186"/>
      <c r="R17" s="187">
        <v>40</v>
      </c>
      <c r="S17" s="186"/>
      <c r="T17" s="186"/>
      <c r="U17" s="192"/>
      <c r="W17" s="2"/>
      <c r="X17"/>
      <c r="Y17"/>
    </row>
    <row r="18" spans="2:25" s="1" customFormat="1" ht="14.7" customHeight="1" outlineLevel="3" x14ac:dyDescent="0.3">
      <c r="B18" s="203" t="s">
        <v>48</v>
      </c>
      <c r="C18" s="184">
        <f>(C14-C16)*E13</f>
        <v>20</v>
      </c>
      <c r="D18" s="184"/>
      <c r="E18" s="184"/>
      <c r="F18" s="184"/>
      <c r="G18" s="184"/>
      <c r="H18" s="184"/>
      <c r="I18" s="184"/>
      <c r="J18" s="184"/>
      <c r="K18" s="184"/>
      <c r="L18" s="184"/>
      <c r="M18" s="184"/>
      <c r="N18" s="184"/>
      <c r="O18" s="184"/>
      <c r="P18" s="184"/>
      <c r="Q18" s="184"/>
      <c r="R18" s="184"/>
      <c r="S18" s="184"/>
      <c r="T18" s="184"/>
      <c r="U18" s="190"/>
      <c r="W18" s="2"/>
      <c r="X18"/>
      <c r="Y18"/>
    </row>
    <row r="19" spans="2:25" s="1" customFormat="1" ht="14.7" customHeight="1" outlineLevel="2" x14ac:dyDescent="0.3">
      <c r="B19" s="200" t="s">
        <v>253</v>
      </c>
      <c r="C19" s="569" t="s">
        <v>42</v>
      </c>
      <c r="D19" s="570"/>
      <c r="E19" s="572"/>
      <c r="F19" s="573"/>
      <c r="G19" s="210"/>
      <c r="H19" s="208"/>
      <c r="I19" s="208"/>
      <c r="J19" s="208"/>
      <c r="K19" s="571" t="s">
        <v>49</v>
      </c>
      <c r="L19" s="570"/>
      <c r="M19" s="574">
        <v>0.5</v>
      </c>
      <c r="N19" s="575"/>
      <c r="O19" s="208"/>
      <c r="P19" s="208"/>
      <c r="Q19" s="208"/>
      <c r="R19" s="208"/>
      <c r="S19" s="208"/>
      <c r="T19" s="208"/>
      <c r="U19" s="209"/>
      <c r="W19" s="2"/>
      <c r="X19"/>
      <c r="Y19"/>
    </row>
    <row r="20" spans="2:25" s="1" customFormat="1" ht="14.7" customHeight="1" outlineLevel="3" x14ac:dyDescent="0.3">
      <c r="B20" s="202" t="s">
        <v>34</v>
      </c>
      <c r="C20" s="184"/>
      <c r="D20" s="184"/>
      <c r="E20" s="184"/>
      <c r="F20" s="184"/>
      <c r="G20" s="184"/>
      <c r="H20" s="184"/>
      <c r="I20" s="184"/>
      <c r="J20" s="184"/>
      <c r="K20" s="184"/>
      <c r="L20" s="184"/>
      <c r="M20" s="184"/>
      <c r="N20" s="184"/>
      <c r="O20" s="184"/>
      <c r="P20" s="184"/>
      <c r="Q20" s="184"/>
      <c r="R20" s="184"/>
      <c r="S20" s="184"/>
      <c r="T20" s="184"/>
      <c r="U20" s="190"/>
      <c r="W20" s="2"/>
      <c r="X20"/>
      <c r="Y20"/>
    </row>
    <row r="21" spans="2:25" s="1" customFormat="1" ht="14.7" customHeight="1" outlineLevel="3" x14ac:dyDescent="0.3">
      <c r="B21" s="203" t="s">
        <v>36</v>
      </c>
      <c r="C21" s="184"/>
      <c r="D21" s="184"/>
      <c r="E21" s="184"/>
      <c r="F21" s="184"/>
      <c r="G21" s="184"/>
      <c r="H21" s="184"/>
      <c r="I21" s="184"/>
      <c r="J21" s="184"/>
      <c r="K21" s="184"/>
      <c r="L21" s="184"/>
      <c r="M21" s="184"/>
      <c r="N21" s="184"/>
      <c r="O21" s="184"/>
      <c r="P21" s="184"/>
      <c r="Q21" s="184"/>
      <c r="R21" s="184"/>
      <c r="S21" s="184"/>
      <c r="T21" s="184"/>
      <c r="U21" s="190"/>
      <c r="W21" s="2"/>
      <c r="X21"/>
      <c r="Y21"/>
    </row>
    <row r="22" spans="2:25" s="1" customFormat="1" ht="14.7" customHeight="1" outlineLevel="3" x14ac:dyDescent="0.3">
      <c r="B22" s="203" t="s">
        <v>37</v>
      </c>
      <c r="C22" s="184"/>
      <c r="D22" s="184"/>
      <c r="E22" s="184"/>
      <c r="F22" s="184"/>
      <c r="G22" s="184"/>
      <c r="H22" s="184"/>
      <c r="I22" s="184"/>
      <c r="J22" s="184"/>
      <c r="K22" s="184"/>
      <c r="L22" s="184"/>
      <c r="M22" s="184"/>
      <c r="N22" s="184"/>
      <c r="O22" s="184"/>
      <c r="P22" s="184"/>
      <c r="Q22" s="184"/>
      <c r="R22" s="184"/>
      <c r="S22" s="184"/>
      <c r="T22" s="184"/>
      <c r="U22" s="190"/>
      <c r="W22" s="2"/>
      <c r="X22"/>
      <c r="Y22"/>
    </row>
    <row r="23" spans="2:25" s="1" customFormat="1" ht="14.7" customHeight="1" outlineLevel="3" x14ac:dyDescent="0.3">
      <c r="B23" s="204" t="s">
        <v>47</v>
      </c>
      <c r="C23" s="184"/>
      <c r="D23" s="184"/>
      <c r="E23" s="184"/>
      <c r="F23" s="184"/>
      <c r="G23" s="184"/>
      <c r="H23" s="184"/>
      <c r="I23" s="184"/>
      <c r="J23" s="184"/>
      <c r="K23" s="184"/>
      <c r="L23" s="184"/>
      <c r="M23" s="184"/>
      <c r="N23" s="184"/>
      <c r="O23" s="184"/>
      <c r="P23" s="184"/>
      <c r="Q23" s="184"/>
      <c r="R23" s="184"/>
      <c r="S23" s="184"/>
      <c r="T23" s="184"/>
      <c r="U23" s="190"/>
      <c r="W23" s="2"/>
      <c r="X23"/>
      <c r="Y23"/>
    </row>
    <row r="24" spans="2:25" s="1" customFormat="1" ht="14.7" customHeight="1" outlineLevel="3" x14ac:dyDescent="0.3">
      <c r="B24" s="205" t="s">
        <v>48</v>
      </c>
      <c r="C24" s="184"/>
      <c r="D24" s="184"/>
      <c r="E24" s="184"/>
      <c r="F24" s="184"/>
      <c r="G24" s="184"/>
      <c r="H24" s="184"/>
      <c r="I24" s="184"/>
      <c r="J24" s="184"/>
      <c r="K24" s="184"/>
      <c r="L24" s="184"/>
      <c r="M24" s="184"/>
      <c r="N24" s="184"/>
      <c r="O24" s="184"/>
      <c r="P24" s="184"/>
      <c r="Q24" s="184"/>
      <c r="R24" s="184"/>
      <c r="S24" s="184"/>
      <c r="T24" s="184"/>
      <c r="U24" s="190"/>
      <c r="W24" s="2"/>
      <c r="X24"/>
      <c r="Y24"/>
    </row>
    <row r="25" spans="2:25" s="1" customFormat="1" ht="14.7" customHeight="1" outlineLevel="2" x14ac:dyDescent="0.3">
      <c r="B25" s="212" t="s">
        <v>35</v>
      </c>
      <c r="C25" s="208"/>
      <c r="D25" s="208"/>
      <c r="E25" s="208"/>
      <c r="F25" s="208"/>
      <c r="G25" s="208"/>
      <c r="H25" s="208"/>
      <c r="I25" s="208"/>
      <c r="J25" s="208"/>
      <c r="K25" s="208"/>
      <c r="L25" s="208"/>
      <c r="M25" s="208"/>
      <c r="N25" s="208"/>
      <c r="O25" s="208"/>
      <c r="P25" s="208"/>
      <c r="Q25" s="208"/>
      <c r="R25" s="208"/>
      <c r="S25" s="208"/>
      <c r="T25" s="208"/>
      <c r="U25" s="209"/>
      <c r="W25" s="2"/>
      <c r="X25"/>
      <c r="Y25"/>
    </row>
    <row r="26" spans="2:25" s="1" customFormat="1" ht="14.7" customHeight="1" outlineLevel="1" x14ac:dyDescent="0.3">
      <c r="B26" s="250" t="s">
        <v>40</v>
      </c>
      <c r="C26" s="183"/>
      <c r="D26" s="183"/>
      <c r="E26" s="183"/>
      <c r="F26" s="183"/>
      <c r="G26" s="183"/>
      <c r="H26" s="183"/>
      <c r="I26" s="183"/>
      <c r="J26" s="183"/>
      <c r="K26" s="183"/>
      <c r="L26" s="183"/>
      <c r="M26" s="183"/>
      <c r="N26" s="183"/>
      <c r="O26" s="183"/>
      <c r="P26" s="183"/>
      <c r="Q26" s="183"/>
      <c r="R26" s="183"/>
      <c r="S26" s="183"/>
      <c r="T26" s="183"/>
      <c r="U26" s="189"/>
      <c r="W26" s="2"/>
      <c r="X26"/>
      <c r="Y26"/>
    </row>
    <row r="27" spans="2:25" outlineLevel="2" x14ac:dyDescent="0.3">
      <c r="B27" s="200" t="s">
        <v>44</v>
      </c>
      <c r="C27" s="206">
        <f>SUM(C33,C39,C45)</f>
        <v>0</v>
      </c>
      <c r="D27" s="206">
        <f t="shared" ref="D27:U27" si="3">SUM(D33,D39,D45)</f>
        <v>0</v>
      </c>
      <c r="E27" s="206">
        <f t="shared" si="3"/>
        <v>0</v>
      </c>
      <c r="F27" s="206">
        <f t="shared" si="3"/>
        <v>0</v>
      </c>
      <c r="G27" s="206">
        <f t="shared" si="3"/>
        <v>0</v>
      </c>
      <c r="H27" s="206">
        <f t="shared" si="3"/>
        <v>0</v>
      </c>
      <c r="I27" s="206">
        <f t="shared" si="3"/>
        <v>0</v>
      </c>
      <c r="J27" s="206">
        <f t="shared" si="3"/>
        <v>0</v>
      </c>
      <c r="K27" s="206">
        <f t="shared" si="3"/>
        <v>0</v>
      </c>
      <c r="L27" s="206">
        <f t="shared" si="3"/>
        <v>0</v>
      </c>
      <c r="M27" s="206">
        <f t="shared" si="3"/>
        <v>0</v>
      </c>
      <c r="N27" s="206">
        <f t="shared" si="3"/>
        <v>0</v>
      </c>
      <c r="O27" s="206">
        <f t="shared" si="3"/>
        <v>0</v>
      </c>
      <c r="P27" s="206">
        <f t="shared" si="3"/>
        <v>0</v>
      </c>
      <c r="Q27" s="206">
        <f t="shared" si="3"/>
        <v>0</v>
      </c>
      <c r="R27" s="206">
        <f t="shared" si="3"/>
        <v>0</v>
      </c>
      <c r="S27" s="206">
        <f t="shared" si="3"/>
        <v>0</v>
      </c>
      <c r="T27" s="206">
        <f t="shared" si="3"/>
        <v>0</v>
      </c>
      <c r="U27" s="207">
        <f t="shared" si="3"/>
        <v>0</v>
      </c>
    </row>
    <row r="28" spans="2:25" outlineLevel="2" x14ac:dyDescent="0.3">
      <c r="B28" s="211" t="s">
        <v>45</v>
      </c>
      <c r="C28" s="183">
        <f>SUM(C32,C34,C38,C40,C44,C46,C47)</f>
        <v>0</v>
      </c>
      <c r="D28" s="183"/>
      <c r="E28" s="183"/>
      <c r="F28" s="183"/>
      <c r="G28" s="183"/>
      <c r="H28" s="183"/>
      <c r="I28" s="183"/>
      <c r="J28" s="183"/>
      <c r="K28" s="183"/>
      <c r="L28" s="183"/>
      <c r="M28" s="183"/>
      <c r="N28" s="183"/>
      <c r="O28" s="183"/>
      <c r="P28" s="183"/>
      <c r="Q28" s="183"/>
      <c r="R28" s="183"/>
      <c r="S28" s="183"/>
      <c r="T28" s="183"/>
      <c r="U28" s="189"/>
    </row>
    <row r="29" spans="2:25" s="1" customFormat="1" ht="14.7" customHeight="1" outlineLevel="2" collapsed="1" x14ac:dyDescent="0.3">
      <c r="B29" s="211" t="s">
        <v>32</v>
      </c>
      <c r="C29" s="569" t="s">
        <v>42</v>
      </c>
      <c r="D29" s="570"/>
      <c r="E29" s="572"/>
      <c r="F29" s="573"/>
      <c r="G29" s="571" t="s">
        <v>43</v>
      </c>
      <c r="H29" s="570"/>
      <c r="I29" s="572">
        <v>0.8</v>
      </c>
      <c r="J29" s="573"/>
      <c r="K29" s="571" t="s">
        <v>49</v>
      </c>
      <c r="L29" s="569"/>
      <c r="M29" s="572">
        <v>0.9</v>
      </c>
      <c r="N29" s="573"/>
      <c r="O29" s="210"/>
      <c r="P29" s="208"/>
      <c r="Q29" s="208"/>
      <c r="R29" s="208"/>
      <c r="S29" s="208"/>
      <c r="T29" s="208"/>
      <c r="U29" s="209"/>
      <c r="W29" s="2"/>
      <c r="X29"/>
      <c r="Y29"/>
    </row>
    <row r="30" spans="2:25" s="1" customFormat="1" ht="14.7" hidden="1" customHeight="1" outlineLevel="3" x14ac:dyDescent="0.3">
      <c r="B30" s="202" t="s">
        <v>34</v>
      </c>
      <c r="C30" s="569" t="s">
        <v>42</v>
      </c>
      <c r="D30" s="570"/>
      <c r="E30" s="184"/>
      <c r="F30" s="184"/>
      <c r="G30" s="184"/>
      <c r="H30" s="184"/>
      <c r="I30" s="184"/>
      <c r="J30" s="184"/>
      <c r="K30" s="184"/>
      <c r="L30" s="184"/>
      <c r="M30" s="184"/>
      <c r="N30" s="184"/>
      <c r="O30" s="184"/>
      <c r="P30" s="184"/>
      <c r="Q30" s="184"/>
      <c r="R30" s="184"/>
      <c r="S30" s="184"/>
      <c r="T30" s="184"/>
      <c r="U30" s="190"/>
      <c r="W30" s="2"/>
      <c r="X30"/>
      <c r="Y30"/>
    </row>
    <row r="31" spans="2:25" s="1" customFormat="1" ht="14.7" hidden="1" customHeight="1" outlineLevel="3" x14ac:dyDescent="0.3">
      <c r="B31" s="203" t="s">
        <v>36</v>
      </c>
      <c r="C31" s="569" t="s">
        <v>42</v>
      </c>
      <c r="D31" s="570"/>
      <c r="E31" s="184"/>
      <c r="F31" s="184"/>
      <c r="G31" s="184"/>
      <c r="H31" s="184"/>
      <c r="I31" s="184"/>
      <c r="J31" s="184"/>
      <c r="K31" s="184"/>
      <c r="L31" s="184"/>
      <c r="M31" s="184"/>
      <c r="N31" s="184"/>
      <c r="O31" s="184"/>
      <c r="P31" s="184"/>
      <c r="Q31" s="184"/>
      <c r="R31" s="184"/>
      <c r="S31" s="184"/>
      <c r="T31" s="184"/>
      <c r="U31" s="190"/>
      <c r="W31" s="2"/>
      <c r="X31"/>
      <c r="Y31"/>
    </row>
    <row r="32" spans="2:25" s="1" customFormat="1" ht="14.7" hidden="1" customHeight="1" outlineLevel="3" x14ac:dyDescent="0.3">
      <c r="B32" s="203" t="s">
        <v>37</v>
      </c>
      <c r="C32" s="569" t="s">
        <v>42</v>
      </c>
      <c r="D32" s="570"/>
      <c r="E32" s="184"/>
      <c r="F32" s="184"/>
      <c r="G32" s="184"/>
      <c r="H32" s="184"/>
      <c r="I32" s="184"/>
      <c r="J32" s="184"/>
      <c r="K32" s="184"/>
      <c r="L32" s="184"/>
      <c r="M32" s="184"/>
      <c r="N32" s="184"/>
      <c r="O32" s="184"/>
      <c r="P32" s="184"/>
      <c r="Q32" s="184"/>
      <c r="R32" s="184"/>
      <c r="S32" s="184"/>
      <c r="T32" s="184"/>
      <c r="U32" s="190"/>
      <c r="W32" s="2"/>
      <c r="X32"/>
      <c r="Y32"/>
    </row>
    <row r="33" spans="2:25" s="1" customFormat="1" ht="14.7" hidden="1" customHeight="1" outlineLevel="3" x14ac:dyDescent="0.3">
      <c r="B33" s="204" t="s">
        <v>47</v>
      </c>
      <c r="C33" s="569" t="s">
        <v>42</v>
      </c>
      <c r="D33" s="570"/>
      <c r="E33" s="184"/>
      <c r="F33" s="184"/>
      <c r="G33" s="184"/>
      <c r="H33" s="184"/>
      <c r="I33" s="184"/>
      <c r="J33" s="184"/>
      <c r="K33" s="184"/>
      <c r="L33" s="184"/>
      <c r="M33" s="184"/>
      <c r="N33" s="184"/>
      <c r="O33" s="184"/>
      <c r="P33" s="184"/>
      <c r="Q33" s="184"/>
      <c r="R33" s="184"/>
      <c r="S33" s="184"/>
      <c r="T33" s="184"/>
      <c r="U33" s="190"/>
      <c r="W33" s="2"/>
      <c r="X33"/>
      <c r="Y33"/>
    </row>
    <row r="34" spans="2:25" s="1" customFormat="1" ht="14.7" hidden="1" customHeight="1" outlineLevel="3" x14ac:dyDescent="0.3">
      <c r="B34" s="205" t="s">
        <v>48</v>
      </c>
      <c r="C34" s="569" t="s">
        <v>42</v>
      </c>
      <c r="D34" s="570"/>
      <c r="E34" s="184"/>
      <c r="F34" s="184"/>
      <c r="G34" s="184"/>
      <c r="H34" s="184"/>
      <c r="I34" s="184"/>
      <c r="J34" s="184"/>
      <c r="K34" s="184"/>
      <c r="L34" s="184"/>
      <c r="M34" s="184"/>
      <c r="N34" s="184"/>
      <c r="O34" s="184"/>
      <c r="P34" s="184"/>
      <c r="Q34" s="184"/>
      <c r="R34" s="184"/>
      <c r="S34" s="184"/>
      <c r="T34" s="184"/>
      <c r="U34" s="190"/>
      <c r="W34" s="2"/>
      <c r="X34"/>
      <c r="Y34"/>
    </row>
    <row r="35" spans="2:25" s="1" customFormat="1" ht="14.7" customHeight="1" outlineLevel="2" collapsed="1" x14ac:dyDescent="0.3">
      <c r="B35" s="200" t="s">
        <v>46</v>
      </c>
      <c r="C35" s="569" t="s">
        <v>42</v>
      </c>
      <c r="D35" s="570"/>
      <c r="E35" s="572"/>
      <c r="F35" s="573"/>
      <c r="G35" s="571" t="s">
        <v>43</v>
      </c>
      <c r="H35" s="570"/>
      <c r="I35" s="572">
        <v>0.8</v>
      </c>
      <c r="J35" s="573"/>
      <c r="K35" s="571" t="s">
        <v>49</v>
      </c>
      <c r="L35" s="569"/>
      <c r="M35" s="572">
        <v>0.7</v>
      </c>
      <c r="N35" s="573"/>
      <c r="O35" s="210"/>
      <c r="P35" s="208"/>
      <c r="Q35" s="208"/>
      <c r="R35" s="208"/>
      <c r="S35" s="208"/>
      <c r="T35" s="208"/>
      <c r="U35" s="209"/>
      <c r="W35" s="2"/>
      <c r="X35"/>
      <c r="Y35"/>
    </row>
    <row r="36" spans="2:25" s="1" customFormat="1" ht="14.7" hidden="1" customHeight="1" outlineLevel="3" x14ac:dyDescent="0.3">
      <c r="B36" s="202" t="s">
        <v>34</v>
      </c>
      <c r="C36" s="569" t="s">
        <v>42</v>
      </c>
      <c r="D36" s="570"/>
      <c r="E36" s="184"/>
      <c r="F36" s="184"/>
      <c r="G36" s="571" t="s">
        <v>43</v>
      </c>
      <c r="H36" s="570"/>
      <c r="I36" s="184"/>
      <c r="J36" s="184"/>
      <c r="K36" s="184"/>
      <c r="L36" s="184"/>
      <c r="M36" s="184"/>
      <c r="N36" s="184"/>
      <c r="O36" s="184"/>
      <c r="P36" s="184"/>
      <c r="Q36" s="184"/>
      <c r="R36" s="184"/>
      <c r="S36" s="184"/>
      <c r="T36" s="184"/>
      <c r="U36" s="190"/>
      <c r="W36" s="2"/>
      <c r="X36"/>
      <c r="Y36"/>
    </row>
    <row r="37" spans="2:25" s="1" customFormat="1" ht="14.7" hidden="1" customHeight="1" outlineLevel="3" x14ac:dyDescent="0.3">
      <c r="B37" s="203" t="s">
        <v>36</v>
      </c>
      <c r="C37" s="569" t="s">
        <v>42</v>
      </c>
      <c r="D37" s="570"/>
      <c r="E37" s="184"/>
      <c r="F37" s="184"/>
      <c r="G37" s="571" t="s">
        <v>43</v>
      </c>
      <c r="H37" s="570"/>
      <c r="I37" s="184"/>
      <c r="J37" s="184"/>
      <c r="K37" s="184"/>
      <c r="L37" s="184"/>
      <c r="M37" s="184"/>
      <c r="N37" s="184"/>
      <c r="O37" s="184"/>
      <c r="P37" s="184"/>
      <c r="Q37" s="184"/>
      <c r="R37" s="184"/>
      <c r="S37" s="184"/>
      <c r="T37" s="184"/>
      <c r="U37" s="190"/>
      <c r="W37" s="2"/>
      <c r="X37"/>
      <c r="Y37"/>
    </row>
    <row r="38" spans="2:25" s="1" customFormat="1" ht="14.7" hidden="1" customHeight="1" outlineLevel="3" x14ac:dyDescent="0.3">
      <c r="B38" s="203" t="s">
        <v>37</v>
      </c>
      <c r="C38" s="569" t="s">
        <v>42</v>
      </c>
      <c r="D38" s="570"/>
      <c r="E38" s="184"/>
      <c r="F38" s="184"/>
      <c r="G38" s="571" t="s">
        <v>43</v>
      </c>
      <c r="H38" s="570"/>
      <c r="I38" s="184"/>
      <c r="J38" s="184"/>
      <c r="K38" s="184"/>
      <c r="L38" s="184"/>
      <c r="M38" s="184"/>
      <c r="N38" s="184"/>
      <c r="O38" s="184"/>
      <c r="P38" s="184"/>
      <c r="Q38" s="184"/>
      <c r="R38" s="184"/>
      <c r="S38" s="184"/>
      <c r="T38" s="184"/>
      <c r="U38" s="190"/>
      <c r="W38" s="2"/>
      <c r="X38"/>
      <c r="Y38"/>
    </row>
    <row r="39" spans="2:25" s="1" customFormat="1" ht="14.7" hidden="1" customHeight="1" outlineLevel="3" x14ac:dyDescent="0.3">
      <c r="B39" s="204" t="s">
        <v>47</v>
      </c>
      <c r="C39" s="569" t="s">
        <v>42</v>
      </c>
      <c r="D39" s="570"/>
      <c r="E39" s="184"/>
      <c r="F39" s="184"/>
      <c r="G39" s="571" t="s">
        <v>43</v>
      </c>
      <c r="H39" s="570"/>
      <c r="I39" s="184"/>
      <c r="J39" s="184"/>
      <c r="K39" s="184"/>
      <c r="L39" s="184"/>
      <c r="M39" s="184"/>
      <c r="N39" s="184"/>
      <c r="O39" s="184"/>
      <c r="P39" s="184"/>
      <c r="Q39" s="184"/>
      <c r="R39" s="184"/>
      <c r="S39" s="184"/>
      <c r="T39" s="184"/>
      <c r="U39" s="190"/>
      <c r="W39" s="2"/>
      <c r="X39"/>
      <c r="Y39"/>
    </row>
    <row r="40" spans="2:25" s="1" customFormat="1" ht="14.7" hidden="1" customHeight="1" outlineLevel="3" x14ac:dyDescent="0.3">
      <c r="B40" s="205" t="s">
        <v>48</v>
      </c>
      <c r="C40" s="569" t="s">
        <v>42</v>
      </c>
      <c r="D40" s="570"/>
      <c r="E40" s="184"/>
      <c r="F40" s="184"/>
      <c r="G40" s="571" t="s">
        <v>43</v>
      </c>
      <c r="H40" s="570"/>
      <c r="I40" s="184"/>
      <c r="J40" s="184"/>
      <c r="K40" s="184"/>
      <c r="L40" s="184"/>
      <c r="M40" s="184"/>
      <c r="N40" s="184"/>
      <c r="O40" s="184"/>
      <c r="P40" s="184"/>
      <c r="Q40" s="184"/>
      <c r="R40" s="184"/>
      <c r="S40" s="184"/>
      <c r="T40" s="184"/>
      <c r="U40" s="190"/>
      <c r="W40" s="2"/>
      <c r="X40"/>
      <c r="Y40"/>
    </row>
    <row r="41" spans="2:25" s="1" customFormat="1" ht="14.7" customHeight="1" outlineLevel="2" collapsed="1" x14ac:dyDescent="0.3">
      <c r="B41" s="200" t="s">
        <v>253</v>
      </c>
      <c r="C41" s="569" t="s">
        <v>42</v>
      </c>
      <c r="D41" s="570"/>
      <c r="E41" s="572"/>
      <c r="F41" s="573"/>
      <c r="G41" s="571" t="s">
        <v>43</v>
      </c>
      <c r="H41" s="570"/>
      <c r="I41" s="572">
        <v>0.8</v>
      </c>
      <c r="J41" s="573"/>
      <c r="K41" s="571" t="s">
        <v>49</v>
      </c>
      <c r="L41" s="569"/>
      <c r="M41" s="572">
        <v>0.5</v>
      </c>
      <c r="N41" s="573"/>
      <c r="O41" s="210"/>
      <c r="P41" s="208"/>
      <c r="Q41" s="208"/>
      <c r="R41" s="208"/>
      <c r="S41" s="208"/>
      <c r="T41" s="208"/>
      <c r="U41" s="209"/>
      <c r="W41" s="2"/>
      <c r="X41"/>
      <c r="Y41"/>
    </row>
    <row r="42" spans="2:25" s="1" customFormat="1" ht="14.7" hidden="1" customHeight="1" outlineLevel="3" x14ac:dyDescent="0.3">
      <c r="B42" s="202" t="s">
        <v>34</v>
      </c>
      <c r="C42" s="184"/>
      <c r="D42" s="184"/>
      <c r="E42" s="184"/>
      <c r="F42" s="184"/>
      <c r="G42" s="184"/>
      <c r="H42" s="184"/>
      <c r="I42" s="184"/>
      <c r="J42" s="184"/>
      <c r="K42" s="184"/>
      <c r="L42" s="184"/>
      <c r="M42" s="184"/>
      <c r="N42" s="184"/>
      <c r="O42" s="184"/>
      <c r="P42" s="184"/>
      <c r="Q42" s="184"/>
      <c r="R42" s="184"/>
      <c r="S42" s="184"/>
      <c r="T42" s="184"/>
      <c r="U42" s="190"/>
      <c r="W42" s="2"/>
      <c r="X42"/>
      <c r="Y42"/>
    </row>
    <row r="43" spans="2:25" s="1" customFormat="1" ht="14.7" hidden="1" customHeight="1" outlineLevel="3" x14ac:dyDescent="0.3">
      <c r="B43" s="203" t="s">
        <v>36</v>
      </c>
      <c r="C43" s="184"/>
      <c r="D43" s="184"/>
      <c r="E43" s="184"/>
      <c r="F43" s="184"/>
      <c r="G43" s="184"/>
      <c r="H43" s="184"/>
      <c r="I43" s="184"/>
      <c r="J43" s="184"/>
      <c r="K43" s="184"/>
      <c r="L43" s="184"/>
      <c r="M43" s="184"/>
      <c r="N43" s="184"/>
      <c r="O43" s="184"/>
      <c r="P43" s="184"/>
      <c r="Q43" s="184"/>
      <c r="R43" s="184"/>
      <c r="S43" s="184"/>
      <c r="T43" s="184"/>
      <c r="U43" s="190"/>
      <c r="W43" s="2"/>
      <c r="X43"/>
      <c r="Y43"/>
    </row>
    <row r="44" spans="2:25" s="1" customFormat="1" ht="14.7" hidden="1" customHeight="1" outlineLevel="3" x14ac:dyDescent="0.3">
      <c r="B44" s="203" t="s">
        <v>37</v>
      </c>
      <c r="C44" s="184"/>
      <c r="D44" s="184"/>
      <c r="E44" s="184"/>
      <c r="F44" s="184"/>
      <c r="G44" s="184"/>
      <c r="H44" s="184"/>
      <c r="I44" s="184"/>
      <c r="J44" s="184"/>
      <c r="K44" s="184"/>
      <c r="L44" s="184"/>
      <c r="M44" s="184"/>
      <c r="N44" s="184"/>
      <c r="O44" s="184"/>
      <c r="P44" s="184"/>
      <c r="Q44" s="184"/>
      <c r="R44" s="184"/>
      <c r="S44" s="184"/>
      <c r="T44" s="184"/>
      <c r="U44" s="190"/>
      <c r="W44" s="2"/>
      <c r="X44"/>
      <c r="Y44"/>
    </row>
    <row r="45" spans="2:25" s="1" customFormat="1" ht="14.7" hidden="1" customHeight="1" outlineLevel="3" x14ac:dyDescent="0.3">
      <c r="B45" s="204" t="s">
        <v>47</v>
      </c>
      <c r="C45" s="184"/>
      <c r="D45" s="184"/>
      <c r="E45" s="184"/>
      <c r="F45" s="184"/>
      <c r="G45" s="184"/>
      <c r="H45" s="184"/>
      <c r="I45" s="184"/>
      <c r="J45" s="184"/>
      <c r="K45" s="184"/>
      <c r="L45" s="184"/>
      <c r="M45" s="184"/>
      <c r="N45" s="184"/>
      <c r="O45" s="184"/>
      <c r="P45" s="184"/>
      <c r="Q45" s="184"/>
      <c r="R45" s="184"/>
      <c r="S45" s="184"/>
      <c r="T45" s="184"/>
      <c r="U45" s="190"/>
      <c r="W45" s="2"/>
      <c r="X45"/>
      <c r="Y45"/>
    </row>
    <row r="46" spans="2:25" s="1" customFormat="1" ht="14.7" hidden="1" customHeight="1" outlineLevel="3" x14ac:dyDescent="0.3">
      <c r="B46" s="203" t="s">
        <v>48</v>
      </c>
      <c r="C46" s="184"/>
      <c r="D46" s="184"/>
      <c r="E46" s="184"/>
      <c r="F46" s="184"/>
      <c r="G46" s="184"/>
      <c r="H46" s="184"/>
      <c r="I46" s="184"/>
      <c r="J46" s="184"/>
      <c r="K46" s="184"/>
      <c r="L46" s="184"/>
      <c r="M46" s="184"/>
      <c r="N46" s="184"/>
      <c r="O46" s="184"/>
      <c r="P46" s="184"/>
      <c r="Q46" s="184"/>
      <c r="R46" s="184"/>
      <c r="S46" s="184"/>
      <c r="T46" s="184"/>
      <c r="U46" s="190"/>
      <c r="W46" s="2"/>
      <c r="X46"/>
      <c r="Y46"/>
    </row>
    <row r="47" spans="2:25" s="1" customFormat="1" ht="14.7" customHeight="1" outlineLevel="2" x14ac:dyDescent="0.3">
      <c r="B47" s="200" t="s">
        <v>35</v>
      </c>
      <c r="C47" s="208"/>
      <c r="D47" s="208"/>
      <c r="E47" s="208"/>
      <c r="F47" s="208"/>
      <c r="G47" s="208"/>
      <c r="H47" s="208"/>
      <c r="I47" s="208"/>
      <c r="J47" s="208"/>
      <c r="K47" s="208"/>
      <c r="L47" s="208"/>
      <c r="M47" s="208"/>
      <c r="N47" s="208"/>
      <c r="O47" s="208"/>
      <c r="P47" s="208"/>
      <c r="Q47" s="208"/>
      <c r="R47" s="208"/>
      <c r="S47" s="208"/>
      <c r="T47" s="208"/>
      <c r="U47" s="209"/>
      <c r="W47" s="2"/>
      <c r="X47"/>
      <c r="Y47"/>
    </row>
    <row r="48" spans="2:25" s="1" customFormat="1" ht="14.7" customHeight="1" outlineLevel="1" x14ac:dyDescent="0.3">
      <c r="B48" s="250" t="s">
        <v>41</v>
      </c>
      <c r="C48" s="206"/>
      <c r="D48" s="206"/>
      <c r="E48" s="208"/>
      <c r="F48" s="206"/>
      <c r="G48" s="206"/>
      <c r="H48" s="206"/>
      <c r="I48" s="206"/>
      <c r="J48" s="206"/>
      <c r="K48" s="206"/>
      <c r="L48" s="206"/>
      <c r="M48" s="206"/>
      <c r="N48" s="206"/>
      <c r="O48" s="206"/>
      <c r="P48" s="206"/>
      <c r="Q48" s="206"/>
      <c r="R48" s="206"/>
      <c r="S48" s="206"/>
      <c r="T48" s="206"/>
      <c r="U48" s="207"/>
      <c r="W48" s="2"/>
      <c r="X48"/>
      <c r="Y48"/>
    </row>
    <row r="49" spans="2:25" outlineLevel="2" x14ac:dyDescent="0.3">
      <c r="B49" s="200" t="s">
        <v>44</v>
      </c>
      <c r="C49" s="206">
        <f>SUM(C55,C61,C67)</f>
        <v>0</v>
      </c>
      <c r="D49" s="206">
        <f t="shared" ref="D49:U49" si="4">SUM(D55,D61,D67)</f>
        <v>0</v>
      </c>
      <c r="E49" s="206">
        <f t="shared" si="4"/>
        <v>0</v>
      </c>
      <c r="F49" s="206">
        <f t="shared" si="4"/>
        <v>0</v>
      </c>
      <c r="G49" s="206">
        <f t="shared" si="4"/>
        <v>0</v>
      </c>
      <c r="H49" s="206">
        <f t="shared" si="4"/>
        <v>0</v>
      </c>
      <c r="I49" s="206">
        <f t="shared" si="4"/>
        <v>0</v>
      </c>
      <c r="J49" s="206">
        <f t="shared" si="4"/>
        <v>0</v>
      </c>
      <c r="K49" s="206">
        <f t="shared" si="4"/>
        <v>0</v>
      </c>
      <c r="L49" s="206">
        <f t="shared" si="4"/>
        <v>0</v>
      </c>
      <c r="M49" s="206">
        <f t="shared" si="4"/>
        <v>0</v>
      </c>
      <c r="N49" s="206">
        <f t="shared" si="4"/>
        <v>0</v>
      </c>
      <c r="O49" s="206">
        <f t="shared" si="4"/>
        <v>0</v>
      </c>
      <c r="P49" s="206">
        <f t="shared" si="4"/>
        <v>0</v>
      </c>
      <c r="Q49" s="206">
        <f t="shared" si="4"/>
        <v>0</v>
      </c>
      <c r="R49" s="206">
        <f t="shared" si="4"/>
        <v>0</v>
      </c>
      <c r="S49" s="206">
        <f t="shared" si="4"/>
        <v>0</v>
      </c>
      <c r="T49" s="206">
        <f t="shared" si="4"/>
        <v>0</v>
      </c>
      <c r="U49" s="207">
        <f t="shared" si="4"/>
        <v>0</v>
      </c>
    </row>
    <row r="50" spans="2:25" outlineLevel="2" x14ac:dyDescent="0.3">
      <c r="B50" s="211" t="s">
        <v>45</v>
      </c>
      <c r="C50" s="183">
        <f>SUM(C54,C56,C60,C62,C66,C68,C69)</f>
        <v>0</v>
      </c>
      <c r="D50" s="183"/>
      <c r="E50" s="183"/>
      <c r="F50" s="183"/>
      <c r="G50" s="183"/>
      <c r="H50" s="183"/>
      <c r="I50" s="183"/>
      <c r="J50" s="183"/>
      <c r="K50" s="183"/>
      <c r="L50" s="183"/>
      <c r="M50" s="183"/>
      <c r="N50" s="183"/>
      <c r="O50" s="183"/>
      <c r="P50" s="183"/>
      <c r="Q50" s="183"/>
      <c r="R50" s="183"/>
      <c r="S50" s="183"/>
      <c r="T50" s="183"/>
      <c r="U50" s="189"/>
    </row>
    <row r="51" spans="2:25" s="1" customFormat="1" ht="14.7" customHeight="1" outlineLevel="2" collapsed="1" x14ac:dyDescent="0.3">
      <c r="B51" s="211" t="s">
        <v>32</v>
      </c>
      <c r="C51" s="569" t="s">
        <v>42</v>
      </c>
      <c r="D51" s="570"/>
      <c r="E51" s="572"/>
      <c r="F51" s="573"/>
      <c r="G51" s="571" t="s">
        <v>43</v>
      </c>
      <c r="H51" s="570"/>
      <c r="I51" s="572">
        <v>1.2</v>
      </c>
      <c r="J51" s="573"/>
      <c r="K51" s="571" t="s">
        <v>49</v>
      </c>
      <c r="L51" s="569"/>
      <c r="M51" s="572">
        <v>0.9</v>
      </c>
      <c r="N51" s="573"/>
      <c r="O51" s="210"/>
      <c r="P51" s="208"/>
      <c r="Q51" s="208"/>
      <c r="R51" s="208"/>
      <c r="S51" s="208"/>
      <c r="T51" s="208"/>
      <c r="U51" s="209"/>
      <c r="W51" s="2"/>
      <c r="X51"/>
      <c r="Y51"/>
    </row>
    <row r="52" spans="2:25" s="1" customFormat="1" ht="14.7" hidden="1" customHeight="1" outlineLevel="3" x14ac:dyDescent="0.3">
      <c r="B52" s="202" t="s">
        <v>34</v>
      </c>
      <c r="C52" s="569" t="s">
        <v>42</v>
      </c>
      <c r="D52" s="570"/>
      <c r="E52" s="184"/>
      <c r="F52" s="184"/>
      <c r="G52" s="184"/>
      <c r="H52" s="184"/>
      <c r="I52" s="184"/>
      <c r="J52" s="184"/>
      <c r="K52" s="184"/>
      <c r="L52" s="184"/>
      <c r="M52" s="184"/>
      <c r="N52" s="184"/>
      <c r="O52" s="184"/>
      <c r="P52" s="184"/>
      <c r="Q52" s="184"/>
      <c r="R52" s="184"/>
      <c r="S52" s="184"/>
      <c r="T52" s="184"/>
      <c r="U52" s="190"/>
      <c r="W52" s="2"/>
      <c r="X52"/>
      <c r="Y52"/>
    </row>
    <row r="53" spans="2:25" s="1" customFormat="1" ht="14.7" hidden="1" customHeight="1" outlineLevel="3" x14ac:dyDescent="0.3">
      <c r="B53" s="203" t="s">
        <v>36</v>
      </c>
      <c r="C53" s="569" t="s">
        <v>42</v>
      </c>
      <c r="D53" s="570"/>
      <c r="E53" s="184"/>
      <c r="F53" s="184"/>
      <c r="G53" s="184"/>
      <c r="H53" s="184"/>
      <c r="I53" s="184"/>
      <c r="J53" s="184"/>
      <c r="K53" s="184"/>
      <c r="L53" s="184"/>
      <c r="M53" s="184"/>
      <c r="N53" s="184"/>
      <c r="O53" s="184"/>
      <c r="P53" s="184"/>
      <c r="Q53" s="184"/>
      <c r="R53" s="184"/>
      <c r="S53" s="184"/>
      <c r="T53" s="184"/>
      <c r="U53" s="190"/>
      <c r="W53" s="2"/>
      <c r="X53"/>
      <c r="Y53"/>
    </row>
    <row r="54" spans="2:25" s="1" customFormat="1" ht="14.7" hidden="1" customHeight="1" outlineLevel="3" x14ac:dyDescent="0.3">
      <c r="B54" s="203" t="s">
        <v>37</v>
      </c>
      <c r="C54" s="569" t="s">
        <v>42</v>
      </c>
      <c r="D54" s="570"/>
      <c r="E54" s="184"/>
      <c r="F54" s="184"/>
      <c r="G54" s="184"/>
      <c r="H54" s="184"/>
      <c r="I54" s="184"/>
      <c r="J54" s="184"/>
      <c r="K54" s="184"/>
      <c r="L54" s="184"/>
      <c r="M54" s="184"/>
      <c r="N54" s="184"/>
      <c r="O54" s="184"/>
      <c r="P54" s="184"/>
      <c r="Q54" s="184"/>
      <c r="R54" s="184"/>
      <c r="S54" s="184"/>
      <c r="T54" s="184"/>
      <c r="U54" s="190"/>
      <c r="W54" s="2"/>
      <c r="X54"/>
      <c r="Y54"/>
    </row>
    <row r="55" spans="2:25" s="1" customFormat="1" ht="14.7" hidden="1" customHeight="1" outlineLevel="3" x14ac:dyDescent="0.3">
      <c r="B55" s="204" t="s">
        <v>47</v>
      </c>
      <c r="C55" s="569" t="s">
        <v>42</v>
      </c>
      <c r="D55" s="570"/>
      <c r="E55" s="184"/>
      <c r="F55" s="184"/>
      <c r="G55" s="184"/>
      <c r="H55" s="184"/>
      <c r="I55" s="184"/>
      <c r="J55" s="184"/>
      <c r="K55" s="184"/>
      <c r="L55" s="184"/>
      <c r="M55" s="184"/>
      <c r="N55" s="184"/>
      <c r="O55" s="184"/>
      <c r="P55" s="184"/>
      <c r="Q55" s="184"/>
      <c r="R55" s="184"/>
      <c r="S55" s="184"/>
      <c r="T55" s="184"/>
      <c r="U55" s="190"/>
      <c r="W55" s="2"/>
      <c r="X55"/>
      <c r="Y55"/>
    </row>
    <row r="56" spans="2:25" s="1" customFormat="1" ht="14.7" hidden="1" customHeight="1" outlineLevel="3" x14ac:dyDescent="0.3">
      <c r="B56" s="205" t="s">
        <v>48</v>
      </c>
      <c r="C56" s="569" t="s">
        <v>42</v>
      </c>
      <c r="D56" s="570"/>
      <c r="E56" s="184"/>
      <c r="F56" s="184"/>
      <c r="G56" s="184"/>
      <c r="H56" s="184"/>
      <c r="I56" s="184"/>
      <c r="J56" s="184"/>
      <c r="K56" s="184"/>
      <c r="L56" s="184"/>
      <c r="M56" s="184"/>
      <c r="N56" s="184"/>
      <c r="O56" s="184"/>
      <c r="P56" s="184"/>
      <c r="Q56" s="184"/>
      <c r="R56" s="184"/>
      <c r="S56" s="184"/>
      <c r="T56" s="184"/>
      <c r="U56" s="190"/>
      <c r="W56" s="2"/>
      <c r="X56"/>
      <c r="Y56"/>
    </row>
    <row r="57" spans="2:25" s="1" customFormat="1" ht="14.7" customHeight="1" outlineLevel="2" collapsed="1" x14ac:dyDescent="0.3">
      <c r="B57" s="200" t="s">
        <v>46</v>
      </c>
      <c r="C57" s="569" t="s">
        <v>42</v>
      </c>
      <c r="D57" s="570"/>
      <c r="E57" s="572"/>
      <c r="F57" s="573"/>
      <c r="G57" s="571" t="s">
        <v>43</v>
      </c>
      <c r="H57" s="570"/>
      <c r="I57" s="572">
        <v>1.2</v>
      </c>
      <c r="J57" s="573"/>
      <c r="K57" s="571" t="s">
        <v>49</v>
      </c>
      <c r="L57" s="569"/>
      <c r="M57" s="572">
        <v>0.7</v>
      </c>
      <c r="N57" s="573"/>
      <c r="O57" s="210"/>
      <c r="P57" s="208"/>
      <c r="Q57" s="208"/>
      <c r="R57" s="208"/>
      <c r="S57" s="208"/>
      <c r="T57" s="208"/>
      <c r="U57" s="209"/>
      <c r="W57" s="2"/>
      <c r="X57"/>
      <c r="Y57"/>
    </row>
    <row r="58" spans="2:25" s="1" customFormat="1" ht="14.7" hidden="1" customHeight="1" outlineLevel="3" x14ac:dyDescent="0.3">
      <c r="B58" s="202" t="s">
        <v>34</v>
      </c>
      <c r="C58" s="569" t="s">
        <v>42</v>
      </c>
      <c r="D58" s="570"/>
      <c r="E58" s="184"/>
      <c r="F58" s="184"/>
      <c r="G58" s="571" t="s">
        <v>43</v>
      </c>
      <c r="H58" s="570"/>
      <c r="I58" s="184"/>
      <c r="J58" s="184"/>
      <c r="K58" s="184"/>
      <c r="L58" s="184"/>
      <c r="M58" s="184"/>
      <c r="N58" s="184"/>
      <c r="O58" s="184"/>
      <c r="P58" s="184"/>
      <c r="Q58" s="184"/>
      <c r="R58" s="184"/>
      <c r="S58" s="184"/>
      <c r="T58" s="184"/>
      <c r="U58" s="190"/>
      <c r="W58" s="2"/>
      <c r="X58"/>
      <c r="Y58"/>
    </row>
    <row r="59" spans="2:25" s="1" customFormat="1" ht="14.7" hidden="1" customHeight="1" outlineLevel="3" x14ac:dyDescent="0.3">
      <c r="B59" s="203" t="s">
        <v>36</v>
      </c>
      <c r="C59" s="569" t="s">
        <v>42</v>
      </c>
      <c r="D59" s="570"/>
      <c r="E59" s="184"/>
      <c r="F59" s="184"/>
      <c r="G59" s="571" t="s">
        <v>43</v>
      </c>
      <c r="H59" s="570"/>
      <c r="I59" s="184"/>
      <c r="J59" s="184"/>
      <c r="K59" s="184"/>
      <c r="L59" s="184"/>
      <c r="M59" s="184"/>
      <c r="N59" s="184"/>
      <c r="O59" s="184"/>
      <c r="P59" s="184"/>
      <c r="Q59" s="184"/>
      <c r="R59" s="184"/>
      <c r="S59" s="184"/>
      <c r="T59" s="184"/>
      <c r="U59" s="190"/>
      <c r="W59" s="2"/>
      <c r="X59"/>
      <c r="Y59"/>
    </row>
    <row r="60" spans="2:25" s="1" customFormat="1" ht="14.7" hidden="1" customHeight="1" outlineLevel="3" x14ac:dyDescent="0.3">
      <c r="B60" s="203" t="s">
        <v>37</v>
      </c>
      <c r="C60" s="569" t="s">
        <v>42</v>
      </c>
      <c r="D60" s="570"/>
      <c r="E60" s="184"/>
      <c r="F60" s="184"/>
      <c r="G60" s="571" t="s">
        <v>43</v>
      </c>
      <c r="H60" s="570"/>
      <c r="I60" s="184"/>
      <c r="J60" s="184"/>
      <c r="K60" s="184"/>
      <c r="L60" s="184"/>
      <c r="M60" s="184"/>
      <c r="N60" s="184"/>
      <c r="O60" s="184"/>
      <c r="P60" s="184"/>
      <c r="Q60" s="184"/>
      <c r="R60" s="184"/>
      <c r="S60" s="184"/>
      <c r="T60" s="184"/>
      <c r="U60" s="190"/>
      <c r="W60" s="2"/>
      <c r="X60"/>
      <c r="Y60"/>
    </row>
    <row r="61" spans="2:25" s="1" customFormat="1" ht="14.7" hidden="1" customHeight="1" outlineLevel="3" x14ac:dyDescent="0.3">
      <c r="B61" s="204" t="s">
        <v>47</v>
      </c>
      <c r="C61" s="569" t="s">
        <v>42</v>
      </c>
      <c r="D61" s="570"/>
      <c r="E61" s="184"/>
      <c r="F61" s="184"/>
      <c r="G61" s="571" t="s">
        <v>43</v>
      </c>
      <c r="H61" s="570"/>
      <c r="I61" s="184"/>
      <c r="J61" s="184"/>
      <c r="K61" s="184"/>
      <c r="L61" s="184"/>
      <c r="M61" s="184"/>
      <c r="N61" s="184"/>
      <c r="O61" s="184"/>
      <c r="P61" s="184"/>
      <c r="Q61" s="184"/>
      <c r="R61" s="184"/>
      <c r="S61" s="184"/>
      <c r="T61" s="184"/>
      <c r="U61" s="190"/>
      <c r="W61" s="2"/>
      <c r="X61"/>
      <c r="Y61"/>
    </row>
    <row r="62" spans="2:25" s="1" customFormat="1" ht="14.7" hidden="1" customHeight="1" outlineLevel="3" x14ac:dyDescent="0.3">
      <c r="B62" s="205" t="s">
        <v>48</v>
      </c>
      <c r="C62" s="569" t="s">
        <v>42</v>
      </c>
      <c r="D62" s="570"/>
      <c r="E62" s="184"/>
      <c r="F62" s="184"/>
      <c r="G62" s="571" t="s">
        <v>43</v>
      </c>
      <c r="H62" s="570"/>
      <c r="I62" s="184"/>
      <c r="J62" s="184"/>
      <c r="K62" s="184"/>
      <c r="L62" s="184"/>
      <c r="M62" s="184"/>
      <c r="N62" s="184"/>
      <c r="O62" s="184"/>
      <c r="P62" s="184"/>
      <c r="Q62" s="184"/>
      <c r="R62" s="184"/>
      <c r="S62" s="184"/>
      <c r="T62" s="184"/>
      <c r="U62" s="190"/>
      <c r="W62" s="2"/>
      <c r="X62"/>
      <c r="Y62"/>
    </row>
    <row r="63" spans="2:25" s="1" customFormat="1" ht="14.7" customHeight="1" outlineLevel="2" collapsed="1" x14ac:dyDescent="0.3">
      <c r="B63" s="200" t="s">
        <v>253</v>
      </c>
      <c r="C63" s="569" t="s">
        <v>42</v>
      </c>
      <c r="D63" s="570"/>
      <c r="E63" s="572"/>
      <c r="F63" s="573"/>
      <c r="G63" s="571" t="s">
        <v>43</v>
      </c>
      <c r="H63" s="570"/>
      <c r="I63" s="572">
        <v>1.2</v>
      </c>
      <c r="J63" s="573"/>
      <c r="K63" s="571" t="s">
        <v>49</v>
      </c>
      <c r="L63" s="569"/>
      <c r="M63" s="572">
        <v>0.5</v>
      </c>
      <c r="N63" s="573"/>
      <c r="O63" s="210"/>
      <c r="P63" s="208"/>
      <c r="Q63" s="208"/>
      <c r="R63" s="208"/>
      <c r="S63" s="208"/>
      <c r="T63" s="208"/>
      <c r="U63" s="209"/>
      <c r="W63" s="2"/>
      <c r="X63"/>
      <c r="Y63"/>
    </row>
    <row r="64" spans="2:25" s="1" customFormat="1" ht="14.7" hidden="1" customHeight="1" outlineLevel="3" x14ac:dyDescent="0.3">
      <c r="B64" s="202" t="s">
        <v>34</v>
      </c>
      <c r="C64" s="184"/>
      <c r="D64" s="184"/>
      <c r="E64" s="184"/>
      <c r="F64" s="184"/>
      <c r="G64" s="184"/>
      <c r="H64" s="184"/>
      <c r="I64" s="184"/>
      <c r="J64" s="184"/>
      <c r="K64" s="184"/>
      <c r="L64" s="184"/>
      <c r="M64" s="184"/>
      <c r="N64" s="184"/>
      <c r="O64" s="184"/>
      <c r="P64" s="184"/>
      <c r="Q64" s="184"/>
      <c r="R64" s="184"/>
      <c r="S64" s="184"/>
      <c r="T64" s="184"/>
      <c r="U64" s="190"/>
      <c r="W64" s="2"/>
      <c r="X64"/>
      <c r="Y64"/>
    </row>
    <row r="65" spans="2:25" s="1" customFormat="1" ht="14.7" hidden="1" customHeight="1" outlineLevel="3" x14ac:dyDescent="0.3">
      <c r="B65" s="203" t="s">
        <v>36</v>
      </c>
      <c r="C65" s="184"/>
      <c r="D65" s="184"/>
      <c r="E65" s="184"/>
      <c r="F65" s="184"/>
      <c r="G65" s="184"/>
      <c r="H65" s="184"/>
      <c r="I65" s="184"/>
      <c r="J65" s="184"/>
      <c r="K65" s="184"/>
      <c r="L65" s="184"/>
      <c r="M65" s="184"/>
      <c r="N65" s="184"/>
      <c r="O65" s="184"/>
      <c r="P65" s="184"/>
      <c r="Q65" s="184"/>
      <c r="R65" s="184"/>
      <c r="S65" s="184"/>
      <c r="T65" s="184"/>
      <c r="U65" s="190"/>
      <c r="W65" s="2"/>
      <c r="X65"/>
      <c r="Y65"/>
    </row>
    <row r="66" spans="2:25" s="1" customFormat="1" ht="14.7" hidden="1" customHeight="1" outlineLevel="3" x14ac:dyDescent="0.3">
      <c r="B66" s="203" t="s">
        <v>37</v>
      </c>
      <c r="C66" s="184"/>
      <c r="D66" s="184"/>
      <c r="E66" s="184"/>
      <c r="F66" s="184"/>
      <c r="G66" s="184"/>
      <c r="H66" s="184"/>
      <c r="I66" s="184"/>
      <c r="J66" s="184"/>
      <c r="K66" s="184"/>
      <c r="L66" s="184"/>
      <c r="M66" s="184"/>
      <c r="N66" s="184"/>
      <c r="O66" s="184"/>
      <c r="P66" s="184"/>
      <c r="Q66" s="184"/>
      <c r="R66" s="184"/>
      <c r="S66" s="184"/>
      <c r="T66" s="184"/>
      <c r="U66" s="190"/>
      <c r="W66" s="2"/>
      <c r="X66"/>
      <c r="Y66"/>
    </row>
    <row r="67" spans="2:25" s="1" customFormat="1" ht="14.7" hidden="1" customHeight="1" outlineLevel="3" x14ac:dyDescent="0.3">
      <c r="B67" s="204" t="s">
        <v>47</v>
      </c>
      <c r="C67" s="184"/>
      <c r="D67" s="184"/>
      <c r="E67" s="184"/>
      <c r="F67" s="184"/>
      <c r="G67" s="184"/>
      <c r="H67" s="184"/>
      <c r="I67" s="184"/>
      <c r="J67" s="184"/>
      <c r="K67" s="184"/>
      <c r="L67" s="184"/>
      <c r="M67" s="184"/>
      <c r="N67" s="184"/>
      <c r="O67" s="184"/>
      <c r="P67" s="184"/>
      <c r="Q67" s="184"/>
      <c r="R67" s="184"/>
      <c r="S67" s="184"/>
      <c r="T67" s="184"/>
      <c r="U67" s="190"/>
      <c r="W67" s="2"/>
      <c r="X67"/>
      <c r="Y67"/>
    </row>
    <row r="68" spans="2:25" s="1" customFormat="1" ht="14.7" hidden="1" customHeight="1" outlineLevel="3" x14ac:dyDescent="0.3">
      <c r="B68" s="203" t="s">
        <v>48</v>
      </c>
      <c r="C68" s="184"/>
      <c r="D68" s="184"/>
      <c r="E68" s="184"/>
      <c r="F68" s="184"/>
      <c r="G68" s="184"/>
      <c r="H68" s="184"/>
      <c r="I68" s="184"/>
      <c r="J68" s="184"/>
      <c r="K68" s="184"/>
      <c r="L68" s="184"/>
      <c r="M68" s="184"/>
      <c r="N68" s="184"/>
      <c r="O68" s="184"/>
      <c r="P68" s="184"/>
      <c r="Q68" s="184"/>
      <c r="R68" s="184"/>
      <c r="S68" s="184"/>
      <c r="T68" s="184"/>
      <c r="U68" s="190"/>
      <c r="W68" s="2"/>
      <c r="X68"/>
      <c r="Y68"/>
    </row>
    <row r="69" spans="2:25" s="1" customFormat="1" ht="14.7" customHeight="1" outlineLevel="2" x14ac:dyDescent="0.3">
      <c r="B69" s="200" t="s">
        <v>35</v>
      </c>
      <c r="C69" s="208"/>
      <c r="D69" s="208"/>
      <c r="E69" s="208"/>
      <c r="F69" s="208"/>
      <c r="G69" s="208"/>
      <c r="H69" s="208"/>
      <c r="I69" s="208"/>
      <c r="J69" s="208"/>
      <c r="K69" s="208"/>
      <c r="L69" s="208"/>
      <c r="M69" s="208"/>
      <c r="N69" s="208"/>
      <c r="O69" s="208"/>
      <c r="P69" s="208"/>
      <c r="Q69" s="208"/>
      <c r="R69" s="208"/>
      <c r="S69" s="208"/>
      <c r="T69" s="208"/>
      <c r="U69" s="209"/>
      <c r="W69" s="2"/>
      <c r="X69"/>
      <c r="Y69"/>
    </row>
    <row r="70" spans="2:25" s="1" customFormat="1" ht="14.7" customHeight="1" outlineLevel="1" x14ac:dyDescent="0.3">
      <c r="B70" s="250" t="s">
        <v>38</v>
      </c>
      <c r="C70" s="183"/>
      <c r="D70" s="183"/>
      <c r="E70" s="183"/>
      <c r="F70" s="183"/>
      <c r="G70" s="183"/>
      <c r="H70" s="183"/>
      <c r="I70" s="183"/>
      <c r="J70" s="183"/>
      <c r="K70" s="183"/>
      <c r="L70" s="183"/>
      <c r="M70" s="183"/>
      <c r="N70" s="183"/>
      <c r="O70" s="183"/>
      <c r="P70" s="183"/>
      <c r="Q70" s="183"/>
      <c r="R70" s="183"/>
      <c r="S70" s="183"/>
      <c r="T70" s="183"/>
      <c r="U70" s="189"/>
      <c r="W70" s="2"/>
      <c r="X70"/>
      <c r="Y70"/>
    </row>
    <row r="71" spans="2:25" outlineLevel="2" x14ac:dyDescent="0.3">
      <c r="B71" s="200" t="s">
        <v>44</v>
      </c>
      <c r="C71" s="206">
        <f>SUM(C77,C83,C89)</f>
        <v>0</v>
      </c>
      <c r="D71" s="206">
        <f t="shared" ref="D71:U71" si="5">SUM(D77,D83,D89)</f>
        <v>0</v>
      </c>
      <c r="E71" s="206">
        <f t="shared" si="5"/>
        <v>0</v>
      </c>
      <c r="F71" s="206">
        <f t="shared" si="5"/>
        <v>0</v>
      </c>
      <c r="G71" s="206">
        <f t="shared" si="5"/>
        <v>0</v>
      </c>
      <c r="H71" s="206">
        <f t="shared" si="5"/>
        <v>0</v>
      </c>
      <c r="I71" s="206">
        <f t="shared" si="5"/>
        <v>0</v>
      </c>
      <c r="J71" s="206">
        <f t="shared" si="5"/>
        <v>0</v>
      </c>
      <c r="K71" s="206">
        <f t="shared" si="5"/>
        <v>0</v>
      </c>
      <c r="L71" s="206">
        <f t="shared" si="5"/>
        <v>0</v>
      </c>
      <c r="M71" s="206">
        <f t="shared" si="5"/>
        <v>0</v>
      </c>
      <c r="N71" s="206">
        <f t="shared" si="5"/>
        <v>0</v>
      </c>
      <c r="O71" s="206">
        <f t="shared" si="5"/>
        <v>0</v>
      </c>
      <c r="P71" s="206">
        <f t="shared" si="5"/>
        <v>0</v>
      </c>
      <c r="Q71" s="206">
        <f t="shared" si="5"/>
        <v>0</v>
      </c>
      <c r="R71" s="206">
        <f t="shared" si="5"/>
        <v>0</v>
      </c>
      <c r="S71" s="206">
        <f t="shared" si="5"/>
        <v>0</v>
      </c>
      <c r="T71" s="206">
        <f t="shared" si="5"/>
        <v>0</v>
      </c>
      <c r="U71" s="207">
        <f t="shared" si="5"/>
        <v>0</v>
      </c>
    </row>
    <row r="72" spans="2:25" outlineLevel="2" x14ac:dyDescent="0.3">
      <c r="B72" s="211" t="s">
        <v>45</v>
      </c>
      <c r="C72" s="183">
        <f>SUM(C76,C78,C82,C84,C88,C90,C91)</f>
        <v>0</v>
      </c>
      <c r="D72" s="183"/>
      <c r="E72" s="183"/>
      <c r="F72" s="183"/>
      <c r="G72" s="183"/>
      <c r="H72" s="183"/>
      <c r="I72" s="183"/>
      <c r="J72" s="183"/>
      <c r="K72" s="183"/>
      <c r="L72" s="183"/>
      <c r="M72" s="183"/>
      <c r="N72" s="183"/>
      <c r="O72" s="183"/>
      <c r="P72" s="183"/>
      <c r="Q72" s="183"/>
      <c r="R72" s="183"/>
      <c r="S72" s="183"/>
      <c r="T72" s="183"/>
      <c r="U72" s="189"/>
    </row>
    <row r="73" spans="2:25" s="1" customFormat="1" ht="14.7" customHeight="1" outlineLevel="2" collapsed="1" x14ac:dyDescent="0.3">
      <c r="B73" s="211" t="s">
        <v>32</v>
      </c>
      <c r="C73" s="569" t="s">
        <v>42</v>
      </c>
      <c r="D73" s="570"/>
      <c r="E73" s="572"/>
      <c r="F73" s="573"/>
      <c r="G73" s="571" t="s">
        <v>43</v>
      </c>
      <c r="H73" s="570"/>
      <c r="I73" s="572">
        <v>0.8</v>
      </c>
      <c r="J73" s="573"/>
      <c r="K73" s="571" t="s">
        <v>49</v>
      </c>
      <c r="L73" s="569"/>
      <c r="M73" s="572">
        <v>0.9</v>
      </c>
      <c r="N73" s="573"/>
      <c r="O73" s="210"/>
      <c r="P73" s="208"/>
      <c r="Q73" s="208"/>
      <c r="R73" s="208"/>
      <c r="S73" s="208"/>
      <c r="T73" s="208"/>
      <c r="U73" s="209"/>
      <c r="W73" s="2"/>
      <c r="X73"/>
      <c r="Y73"/>
    </row>
    <row r="74" spans="2:25" s="1" customFormat="1" ht="14.7" hidden="1" customHeight="1" outlineLevel="3" x14ac:dyDescent="0.3">
      <c r="B74" s="202" t="s">
        <v>34</v>
      </c>
      <c r="C74" s="569" t="s">
        <v>42</v>
      </c>
      <c r="D74" s="570"/>
      <c r="E74" s="184"/>
      <c r="F74" s="184"/>
      <c r="G74" s="184"/>
      <c r="H74" s="184"/>
      <c r="I74" s="184"/>
      <c r="J74" s="184"/>
      <c r="K74" s="184"/>
      <c r="L74" s="184"/>
      <c r="M74" s="184"/>
      <c r="N74" s="184"/>
      <c r="O74" s="184"/>
      <c r="P74" s="184"/>
      <c r="Q74" s="184"/>
      <c r="R74" s="184"/>
      <c r="S74" s="184"/>
      <c r="T74" s="184"/>
      <c r="U74" s="190"/>
      <c r="W74" s="2"/>
      <c r="X74"/>
      <c r="Y74"/>
    </row>
    <row r="75" spans="2:25" s="1" customFormat="1" ht="14.7" hidden="1" customHeight="1" outlineLevel="3" x14ac:dyDescent="0.3">
      <c r="B75" s="203" t="s">
        <v>36</v>
      </c>
      <c r="C75" s="569" t="s">
        <v>42</v>
      </c>
      <c r="D75" s="570"/>
      <c r="E75" s="184"/>
      <c r="F75" s="184"/>
      <c r="G75" s="184"/>
      <c r="H75" s="184"/>
      <c r="I75" s="184"/>
      <c r="J75" s="184"/>
      <c r="K75" s="184"/>
      <c r="L75" s="184"/>
      <c r="M75" s="184"/>
      <c r="N75" s="184"/>
      <c r="O75" s="184"/>
      <c r="P75" s="184"/>
      <c r="Q75" s="184"/>
      <c r="R75" s="184"/>
      <c r="S75" s="184"/>
      <c r="T75" s="184"/>
      <c r="U75" s="190"/>
      <c r="W75" s="2"/>
      <c r="X75"/>
      <c r="Y75"/>
    </row>
    <row r="76" spans="2:25" s="1" customFormat="1" ht="14.7" hidden="1" customHeight="1" outlineLevel="3" x14ac:dyDescent="0.3">
      <c r="B76" s="203" t="s">
        <v>37</v>
      </c>
      <c r="C76" s="569" t="s">
        <v>42</v>
      </c>
      <c r="D76" s="570"/>
      <c r="E76" s="184"/>
      <c r="F76" s="184"/>
      <c r="G76" s="184"/>
      <c r="H76" s="184"/>
      <c r="I76" s="184"/>
      <c r="J76" s="184"/>
      <c r="K76" s="184"/>
      <c r="L76" s="184"/>
      <c r="M76" s="184"/>
      <c r="N76" s="184"/>
      <c r="O76" s="184"/>
      <c r="P76" s="184"/>
      <c r="Q76" s="184"/>
      <c r="R76" s="184"/>
      <c r="S76" s="184"/>
      <c r="T76" s="184"/>
      <c r="U76" s="190"/>
      <c r="W76" s="2"/>
      <c r="X76"/>
      <c r="Y76"/>
    </row>
    <row r="77" spans="2:25" s="1" customFormat="1" ht="14.7" hidden="1" customHeight="1" outlineLevel="3" x14ac:dyDescent="0.3">
      <c r="B77" s="204" t="s">
        <v>47</v>
      </c>
      <c r="C77" s="569" t="s">
        <v>42</v>
      </c>
      <c r="D77" s="570"/>
      <c r="E77" s="184"/>
      <c r="F77" s="184"/>
      <c r="G77" s="184"/>
      <c r="H77" s="184"/>
      <c r="I77" s="184"/>
      <c r="J77" s="184"/>
      <c r="K77" s="184"/>
      <c r="L77" s="184"/>
      <c r="M77" s="184"/>
      <c r="N77" s="184"/>
      <c r="O77" s="184"/>
      <c r="P77" s="184"/>
      <c r="Q77" s="184"/>
      <c r="R77" s="184"/>
      <c r="S77" s="184"/>
      <c r="T77" s="184"/>
      <c r="U77" s="190"/>
      <c r="W77" s="2"/>
      <c r="X77"/>
      <c r="Y77"/>
    </row>
    <row r="78" spans="2:25" s="1" customFormat="1" ht="14.7" hidden="1" customHeight="1" outlineLevel="3" x14ac:dyDescent="0.3">
      <c r="B78" s="205" t="s">
        <v>48</v>
      </c>
      <c r="C78" s="569" t="s">
        <v>42</v>
      </c>
      <c r="D78" s="570"/>
      <c r="E78" s="184"/>
      <c r="F78" s="184"/>
      <c r="G78" s="184"/>
      <c r="H78" s="184"/>
      <c r="I78" s="184"/>
      <c r="J78" s="184"/>
      <c r="K78" s="184"/>
      <c r="L78" s="184"/>
      <c r="M78" s="184"/>
      <c r="N78" s="184"/>
      <c r="O78" s="184"/>
      <c r="P78" s="184"/>
      <c r="Q78" s="184"/>
      <c r="R78" s="184"/>
      <c r="S78" s="184"/>
      <c r="T78" s="184"/>
      <c r="U78" s="190"/>
      <c r="W78" s="2"/>
      <c r="X78"/>
      <c r="Y78"/>
    </row>
    <row r="79" spans="2:25" s="1" customFormat="1" ht="14.7" customHeight="1" outlineLevel="2" collapsed="1" x14ac:dyDescent="0.3">
      <c r="B79" s="200" t="s">
        <v>46</v>
      </c>
      <c r="C79" s="569" t="s">
        <v>42</v>
      </c>
      <c r="D79" s="570"/>
      <c r="E79" s="572"/>
      <c r="F79" s="573"/>
      <c r="G79" s="571" t="s">
        <v>43</v>
      </c>
      <c r="H79" s="570"/>
      <c r="I79" s="572">
        <v>0.8</v>
      </c>
      <c r="J79" s="573"/>
      <c r="K79" s="571" t="s">
        <v>49</v>
      </c>
      <c r="L79" s="569"/>
      <c r="M79" s="572">
        <v>0.7</v>
      </c>
      <c r="N79" s="573"/>
      <c r="O79" s="210"/>
      <c r="P79" s="208"/>
      <c r="Q79" s="208"/>
      <c r="R79" s="208"/>
      <c r="S79" s="208"/>
      <c r="T79" s="208"/>
      <c r="U79" s="209"/>
      <c r="W79" s="2"/>
      <c r="X79"/>
      <c r="Y79"/>
    </row>
    <row r="80" spans="2:25" s="1" customFormat="1" ht="14.7" hidden="1" customHeight="1" outlineLevel="3" x14ac:dyDescent="0.3">
      <c r="B80" s="202" t="s">
        <v>34</v>
      </c>
      <c r="C80" s="569" t="s">
        <v>42</v>
      </c>
      <c r="D80" s="570"/>
      <c r="E80" s="184"/>
      <c r="F80" s="184"/>
      <c r="G80" s="571" t="s">
        <v>43</v>
      </c>
      <c r="H80" s="570"/>
      <c r="I80" s="184"/>
      <c r="J80" s="184"/>
      <c r="K80" s="184"/>
      <c r="L80" s="184"/>
      <c r="M80" s="184"/>
      <c r="N80" s="184"/>
      <c r="O80" s="184"/>
      <c r="P80" s="184"/>
      <c r="Q80" s="184"/>
      <c r="R80" s="184"/>
      <c r="S80" s="184"/>
      <c r="T80" s="184"/>
      <c r="U80" s="190"/>
      <c r="W80" s="2"/>
      <c r="X80"/>
      <c r="Y80"/>
    </row>
    <row r="81" spans="2:25" s="1" customFormat="1" ht="14.7" hidden="1" customHeight="1" outlineLevel="3" x14ac:dyDescent="0.3">
      <c r="B81" s="203" t="s">
        <v>36</v>
      </c>
      <c r="C81" s="569" t="s">
        <v>42</v>
      </c>
      <c r="D81" s="570"/>
      <c r="E81" s="184"/>
      <c r="F81" s="184"/>
      <c r="G81" s="571" t="s">
        <v>43</v>
      </c>
      <c r="H81" s="570"/>
      <c r="I81" s="184"/>
      <c r="J81" s="184"/>
      <c r="K81" s="184"/>
      <c r="L81" s="184"/>
      <c r="M81" s="184"/>
      <c r="N81" s="184"/>
      <c r="O81" s="184"/>
      <c r="P81" s="184"/>
      <c r="Q81" s="184"/>
      <c r="R81" s="184"/>
      <c r="S81" s="184"/>
      <c r="T81" s="184"/>
      <c r="U81" s="190"/>
      <c r="W81" s="2"/>
      <c r="X81"/>
      <c r="Y81"/>
    </row>
    <row r="82" spans="2:25" s="1" customFormat="1" ht="14.7" hidden="1" customHeight="1" outlineLevel="3" x14ac:dyDescent="0.3">
      <c r="B82" s="203" t="s">
        <v>37</v>
      </c>
      <c r="C82" s="569" t="s">
        <v>42</v>
      </c>
      <c r="D82" s="570"/>
      <c r="E82" s="184"/>
      <c r="F82" s="184"/>
      <c r="G82" s="571" t="s">
        <v>43</v>
      </c>
      <c r="H82" s="570"/>
      <c r="I82" s="184"/>
      <c r="J82" s="184"/>
      <c r="K82" s="184"/>
      <c r="L82" s="184"/>
      <c r="M82" s="184"/>
      <c r="N82" s="184"/>
      <c r="O82" s="184"/>
      <c r="P82" s="184"/>
      <c r="Q82" s="184"/>
      <c r="R82" s="184"/>
      <c r="S82" s="184"/>
      <c r="T82" s="184"/>
      <c r="U82" s="190"/>
      <c r="W82" s="2"/>
      <c r="X82"/>
      <c r="Y82"/>
    </row>
    <row r="83" spans="2:25" s="1" customFormat="1" ht="14.7" hidden="1" customHeight="1" outlineLevel="3" x14ac:dyDescent="0.3">
      <c r="B83" s="204" t="s">
        <v>47</v>
      </c>
      <c r="C83" s="569" t="s">
        <v>42</v>
      </c>
      <c r="D83" s="570"/>
      <c r="E83" s="184"/>
      <c r="F83" s="184"/>
      <c r="G83" s="571" t="s">
        <v>43</v>
      </c>
      <c r="H83" s="570"/>
      <c r="I83" s="184"/>
      <c r="J83" s="184"/>
      <c r="K83" s="184"/>
      <c r="L83" s="184"/>
      <c r="M83" s="184"/>
      <c r="N83" s="184"/>
      <c r="O83" s="184"/>
      <c r="P83" s="184"/>
      <c r="Q83" s="184"/>
      <c r="R83" s="184"/>
      <c r="S83" s="184"/>
      <c r="T83" s="184"/>
      <c r="U83" s="190"/>
      <c r="W83" s="2"/>
      <c r="X83"/>
      <c r="Y83"/>
    </row>
    <row r="84" spans="2:25" s="1" customFormat="1" ht="14.7" hidden="1" customHeight="1" outlineLevel="3" x14ac:dyDescent="0.3">
      <c r="B84" s="205" t="s">
        <v>48</v>
      </c>
      <c r="C84" s="569" t="s">
        <v>42</v>
      </c>
      <c r="D84" s="570"/>
      <c r="E84" s="184"/>
      <c r="F84" s="184"/>
      <c r="G84" s="571" t="s">
        <v>43</v>
      </c>
      <c r="H84" s="570"/>
      <c r="I84" s="184"/>
      <c r="J84" s="184"/>
      <c r="K84" s="184"/>
      <c r="L84" s="184"/>
      <c r="M84" s="184"/>
      <c r="N84" s="184"/>
      <c r="O84" s="184"/>
      <c r="P84" s="184"/>
      <c r="Q84" s="184"/>
      <c r="R84" s="184"/>
      <c r="S84" s="184"/>
      <c r="T84" s="184"/>
      <c r="U84" s="190"/>
      <c r="W84" s="2"/>
      <c r="X84"/>
      <c r="Y84"/>
    </row>
    <row r="85" spans="2:25" s="1" customFormat="1" ht="14.7" customHeight="1" outlineLevel="2" collapsed="1" x14ac:dyDescent="0.3">
      <c r="B85" s="200" t="s">
        <v>253</v>
      </c>
      <c r="C85" s="569" t="s">
        <v>42</v>
      </c>
      <c r="D85" s="570"/>
      <c r="E85" s="572"/>
      <c r="F85" s="573"/>
      <c r="G85" s="571" t="s">
        <v>43</v>
      </c>
      <c r="H85" s="570"/>
      <c r="I85" s="572">
        <v>0.8</v>
      </c>
      <c r="J85" s="573"/>
      <c r="K85" s="571" t="s">
        <v>1</v>
      </c>
      <c r="L85" s="569"/>
      <c r="M85" s="572">
        <v>0.5</v>
      </c>
      <c r="N85" s="573"/>
      <c r="O85" s="210"/>
      <c r="P85" s="208"/>
      <c r="Q85" s="208"/>
      <c r="R85" s="208"/>
      <c r="S85" s="208"/>
      <c r="T85" s="208"/>
      <c r="U85" s="209"/>
      <c r="W85" s="2"/>
      <c r="X85"/>
      <c r="Y85"/>
    </row>
    <row r="86" spans="2:25" s="1" customFormat="1" ht="14.7" hidden="1" customHeight="1" outlineLevel="3" x14ac:dyDescent="0.3">
      <c r="B86" s="202" t="s">
        <v>34</v>
      </c>
      <c r="C86" s="184"/>
      <c r="D86" s="184"/>
      <c r="E86" s="184"/>
      <c r="F86" s="184"/>
      <c r="G86" s="184"/>
      <c r="H86" s="184"/>
      <c r="I86" s="184"/>
      <c r="J86" s="184"/>
      <c r="K86" s="184"/>
      <c r="L86" s="184"/>
      <c r="M86" s="184"/>
      <c r="N86" s="184"/>
      <c r="O86" s="184"/>
      <c r="P86" s="184"/>
      <c r="Q86" s="184"/>
      <c r="R86" s="184"/>
      <c r="S86" s="184"/>
      <c r="T86" s="184"/>
      <c r="U86" s="190"/>
      <c r="W86" s="2"/>
      <c r="X86"/>
      <c r="Y86"/>
    </row>
    <row r="87" spans="2:25" s="1" customFormat="1" ht="14.7" hidden="1" customHeight="1" outlineLevel="3" x14ac:dyDescent="0.3">
      <c r="B87" s="203" t="s">
        <v>36</v>
      </c>
      <c r="C87" s="184"/>
      <c r="D87" s="184"/>
      <c r="E87" s="184"/>
      <c r="F87" s="184"/>
      <c r="G87" s="184"/>
      <c r="H87" s="184"/>
      <c r="I87" s="184"/>
      <c r="J87" s="184"/>
      <c r="K87" s="184"/>
      <c r="L87" s="184"/>
      <c r="M87" s="184"/>
      <c r="N87" s="184"/>
      <c r="O87" s="184"/>
      <c r="P87" s="184"/>
      <c r="Q87" s="184"/>
      <c r="R87" s="184"/>
      <c r="S87" s="184"/>
      <c r="T87" s="184"/>
      <c r="U87" s="190"/>
      <c r="W87" s="2"/>
      <c r="X87"/>
      <c r="Y87"/>
    </row>
    <row r="88" spans="2:25" s="1" customFormat="1" ht="14.7" hidden="1" customHeight="1" outlineLevel="3" x14ac:dyDescent="0.3">
      <c r="B88" s="203" t="s">
        <v>37</v>
      </c>
      <c r="C88" s="184"/>
      <c r="D88" s="184"/>
      <c r="E88" s="184"/>
      <c r="F88" s="184"/>
      <c r="G88" s="184"/>
      <c r="H88" s="184"/>
      <c r="I88" s="184"/>
      <c r="J88" s="184"/>
      <c r="K88" s="184"/>
      <c r="L88" s="184"/>
      <c r="M88" s="184"/>
      <c r="N88" s="184"/>
      <c r="O88" s="184"/>
      <c r="P88" s="184"/>
      <c r="Q88" s="184"/>
      <c r="R88" s="184"/>
      <c r="S88" s="184"/>
      <c r="T88" s="184"/>
      <c r="U88" s="190"/>
      <c r="W88" s="2"/>
      <c r="X88"/>
      <c r="Y88"/>
    </row>
    <row r="89" spans="2:25" s="1" customFormat="1" ht="14.7" hidden="1" customHeight="1" outlineLevel="3" x14ac:dyDescent="0.3">
      <c r="B89" s="204" t="s">
        <v>47</v>
      </c>
      <c r="C89" s="184"/>
      <c r="D89" s="184"/>
      <c r="E89" s="184"/>
      <c r="F89" s="184"/>
      <c r="G89" s="184"/>
      <c r="H89" s="184"/>
      <c r="I89" s="184"/>
      <c r="J89" s="184"/>
      <c r="K89" s="184"/>
      <c r="L89" s="184"/>
      <c r="M89" s="184"/>
      <c r="N89" s="184"/>
      <c r="O89" s="184"/>
      <c r="P89" s="184"/>
      <c r="Q89" s="184"/>
      <c r="R89" s="184"/>
      <c r="S89" s="184"/>
      <c r="T89" s="184"/>
      <c r="U89" s="190"/>
      <c r="W89" s="2"/>
      <c r="X89"/>
      <c r="Y89"/>
    </row>
    <row r="90" spans="2:25" s="1" customFormat="1" ht="14.7" hidden="1" customHeight="1" outlineLevel="3" x14ac:dyDescent="0.3">
      <c r="B90" s="205" t="s">
        <v>48</v>
      </c>
      <c r="C90" s="184"/>
      <c r="D90" s="184"/>
      <c r="E90" s="184"/>
      <c r="F90" s="184"/>
      <c r="G90" s="184"/>
      <c r="H90" s="184"/>
      <c r="I90" s="184"/>
      <c r="J90" s="184"/>
      <c r="K90" s="184"/>
      <c r="L90" s="184"/>
      <c r="M90" s="184"/>
      <c r="N90" s="184"/>
      <c r="O90" s="184"/>
      <c r="P90" s="184"/>
      <c r="Q90" s="184"/>
      <c r="R90" s="184"/>
      <c r="S90" s="184"/>
      <c r="T90" s="184"/>
      <c r="U90" s="190"/>
      <c r="W90" s="2"/>
      <c r="X90"/>
      <c r="Y90"/>
    </row>
    <row r="91" spans="2:25" s="1" customFormat="1" ht="14.7" customHeight="1" outlineLevel="2" x14ac:dyDescent="0.3">
      <c r="B91" s="212" t="s">
        <v>35</v>
      </c>
      <c r="C91" s="208"/>
      <c r="D91" s="208"/>
      <c r="E91" s="208"/>
      <c r="F91" s="208"/>
      <c r="G91" s="208"/>
      <c r="H91" s="208"/>
      <c r="I91" s="208"/>
      <c r="J91" s="208"/>
      <c r="K91" s="208"/>
      <c r="L91" s="208"/>
      <c r="M91" s="208"/>
      <c r="N91" s="208"/>
      <c r="O91" s="208"/>
      <c r="P91" s="208"/>
      <c r="Q91" s="208"/>
      <c r="R91" s="208"/>
      <c r="S91" s="208"/>
      <c r="T91" s="208"/>
      <c r="U91" s="209"/>
      <c r="W91" s="2"/>
      <c r="X91"/>
      <c r="Y91"/>
    </row>
    <row r="92" spans="2:25" s="1" customFormat="1" ht="14.7" customHeight="1" outlineLevel="1" x14ac:dyDescent="0.3">
      <c r="B92" s="250" t="s">
        <v>39</v>
      </c>
      <c r="C92" s="206"/>
      <c r="D92" s="206"/>
      <c r="E92" s="206"/>
      <c r="F92" s="206"/>
      <c r="G92" s="206"/>
      <c r="H92" s="206"/>
      <c r="I92" s="206"/>
      <c r="J92" s="206"/>
      <c r="K92" s="206"/>
      <c r="L92" s="206"/>
      <c r="M92" s="206"/>
      <c r="N92" s="206"/>
      <c r="O92" s="206"/>
      <c r="P92" s="206"/>
      <c r="Q92" s="206"/>
      <c r="R92" s="206"/>
      <c r="S92" s="206"/>
      <c r="T92" s="206"/>
      <c r="U92" s="207"/>
      <c r="W92" s="2"/>
      <c r="X92"/>
      <c r="Y92"/>
    </row>
    <row r="93" spans="2:25" outlineLevel="2" x14ac:dyDescent="0.3">
      <c r="B93" s="212" t="s">
        <v>44</v>
      </c>
      <c r="C93" s="206">
        <f>SUM(C99,C105,C111)</f>
        <v>0</v>
      </c>
      <c r="D93" s="206">
        <f t="shared" ref="D93:U93" si="6">SUM(D99,D105,D111)</f>
        <v>0</v>
      </c>
      <c r="E93" s="206">
        <f t="shared" si="6"/>
        <v>0</v>
      </c>
      <c r="F93" s="206">
        <f t="shared" si="6"/>
        <v>0</v>
      </c>
      <c r="G93" s="206">
        <f t="shared" si="6"/>
        <v>0</v>
      </c>
      <c r="H93" s="206">
        <f t="shared" si="6"/>
        <v>0</v>
      </c>
      <c r="I93" s="206">
        <f t="shared" si="6"/>
        <v>0</v>
      </c>
      <c r="J93" s="206">
        <f t="shared" si="6"/>
        <v>0</v>
      </c>
      <c r="K93" s="206">
        <f t="shared" si="6"/>
        <v>0</v>
      </c>
      <c r="L93" s="206">
        <f t="shared" si="6"/>
        <v>0</v>
      </c>
      <c r="M93" s="206">
        <f t="shared" si="6"/>
        <v>0</v>
      </c>
      <c r="N93" s="206">
        <f t="shared" si="6"/>
        <v>0</v>
      </c>
      <c r="O93" s="206">
        <f t="shared" si="6"/>
        <v>0</v>
      </c>
      <c r="P93" s="206">
        <f t="shared" si="6"/>
        <v>0</v>
      </c>
      <c r="Q93" s="206">
        <f t="shared" si="6"/>
        <v>0</v>
      </c>
      <c r="R93" s="206">
        <f t="shared" si="6"/>
        <v>0</v>
      </c>
      <c r="S93" s="206">
        <f t="shared" si="6"/>
        <v>0</v>
      </c>
      <c r="T93" s="206">
        <f t="shared" si="6"/>
        <v>0</v>
      </c>
      <c r="U93" s="207">
        <f t="shared" si="6"/>
        <v>0</v>
      </c>
    </row>
    <row r="94" spans="2:25" outlineLevel="2" x14ac:dyDescent="0.3">
      <c r="B94" s="200" t="s">
        <v>45</v>
      </c>
      <c r="C94" s="183">
        <f>SUM(C98,C100,C104,C106,C110,C112,C113)</f>
        <v>0</v>
      </c>
      <c r="D94" s="183"/>
      <c r="E94" s="183"/>
      <c r="F94" s="183"/>
      <c r="G94" s="183"/>
      <c r="H94" s="183"/>
      <c r="I94" s="183"/>
      <c r="J94" s="183"/>
      <c r="K94" s="183"/>
      <c r="L94" s="183"/>
      <c r="M94" s="183"/>
      <c r="N94" s="183"/>
      <c r="O94" s="183"/>
      <c r="P94" s="183"/>
      <c r="Q94" s="183"/>
      <c r="R94" s="183"/>
      <c r="S94" s="183"/>
      <c r="T94" s="183"/>
      <c r="U94" s="189"/>
    </row>
    <row r="95" spans="2:25" s="1" customFormat="1" ht="14.7" customHeight="1" outlineLevel="2" collapsed="1" x14ac:dyDescent="0.3">
      <c r="B95" s="211" t="s">
        <v>32</v>
      </c>
      <c r="C95" s="569" t="s">
        <v>42</v>
      </c>
      <c r="D95" s="570"/>
      <c r="E95" s="572">
        <v>0.5</v>
      </c>
      <c r="F95" s="573"/>
      <c r="G95" s="571" t="s">
        <v>43</v>
      </c>
      <c r="H95" s="570"/>
      <c r="I95" s="572">
        <v>1.2</v>
      </c>
      <c r="J95" s="573"/>
      <c r="K95" s="571" t="s">
        <v>49</v>
      </c>
      <c r="L95" s="569"/>
      <c r="M95" s="572">
        <v>0.9</v>
      </c>
      <c r="N95" s="573"/>
      <c r="O95" s="210"/>
      <c r="P95" s="208"/>
      <c r="Q95" s="208"/>
      <c r="R95" s="208"/>
      <c r="S95" s="208"/>
      <c r="T95" s="208"/>
      <c r="U95" s="209"/>
      <c r="W95" s="2"/>
      <c r="X95"/>
      <c r="Y95"/>
    </row>
    <row r="96" spans="2:25" s="1" customFormat="1" ht="14.7" hidden="1" customHeight="1" outlineLevel="3" x14ac:dyDescent="0.3">
      <c r="B96" s="202" t="s">
        <v>34</v>
      </c>
      <c r="C96" s="569" t="s">
        <v>42</v>
      </c>
      <c r="D96" s="570"/>
      <c r="E96" s="184"/>
      <c r="F96" s="184"/>
      <c r="G96" s="184"/>
      <c r="H96" s="184"/>
      <c r="I96" s="184"/>
      <c r="J96" s="184"/>
      <c r="K96" s="184"/>
      <c r="L96" s="184"/>
      <c r="M96" s="184"/>
      <c r="N96" s="184"/>
      <c r="O96" s="184"/>
      <c r="P96" s="184"/>
      <c r="Q96" s="184"/>
      <c r="R96" s="184"/>
      <c r="S96" s="184"/>
      <c r="T96" s="184"/>
      <c r="U96" s="190"/>
      <c r="W96" s="2"/>
      <c r="X96"/>
      <c r="Y96"/>
    </row>
    <row r="97" spans="2:25" s="1" customFormat="1" ht="14.7" hidden="1" customHeight="1" outlineLevel="3" x14ac:dyDescent="0.3">
      <c r="B97" s="203" t="s">
        <v>36</v>
      </c>
      <c r="C97" s="569" t="s">
        <v>42</v>
      </c>
      <c r="D97" s="570"/>
      <c r="E97" s="184"/>
      <c r="F97" s="184"/>
      <c r="G97" s="184"/>
      <c r="H97" s="184"/>
      <c r="I97" s="184"/>
      <c r="J97" s="184"/>
      <c r="K97" s="184"/>
      <c r="L97" s="184"/>
      <c r="M97" s="184"/>
      <c r="N97" s="184"/>
      <c r="O97" s="184"/>
      <c r="P97" s="184"/>
      <c r="Q97" s="184"/>
      <c r="R97" s="184"/>
      <c r="S97" s="184"/>
      <c r="T97" s="184"/>
      <c r="U97" s="190"/>
      <c r="W97" s="2"/>
      <c r="X97"/>
      <c r="Y97"/>
    </row>
    <row r="98" spans="2:25" s="1" customFormat="1" ht="14.7" hidden="1" customHeight="1" outlineLevel="3" x14ac:dyDescent="0.3">
      <c r="B98" s="203" t="s">
        <v>37</v>
      </c>
      <c r="C98" s="569" t="s">
        <v>42</v>
      </c>
      <c r="D98" s="570"/>
      <c r="E98" s="184"/>
      <c r="F98" s="184"/>
      <c r="G98" s="184"/>
      <c r="H98" s="184"/>
      <c r="I98" s="184"/>
      <c r="J98" s="184"/>
      <c r="K98" s="184"/>
      <c r="L98" s="184"/>
      <c r="M98" s="184"/>
      <c r="N98" s="184"/>
      <c r="O98" s="184"/>
      <c r="P98" s="184"/>
      <c r="Q98" s="184"/>
      <c r="R98" s="184"/>
      <c r="S98" s="184"/>
      <c r="T98" s="184"/>
      <c r="U98" s="190"/>
      <c r="W98" s="2"/>
      <c r="X98"/>
      <c r="Y98"/>
    </row>
    <row r="99" spans="2:25" s="1" customFormat="1" ht="14.7" hidden="1" customHeight="1" outlineLevel="3" x14ac:dyDescent="0.3">
      <c r="B99" s="204" t="s">
        <v>47</v>
      </c>
      <c r="C99" s="569" t="s">
        <v>42</v>
      </c>
      <c r="D99" s="570"/>
      <c r="E99" s="184"/>
      <c r="F99" s="184"/>
      <c r="G99" s="184"/>
      <c r="H99" s="184"/>
      <c r="I99" s="184"/>
      <c r="J99" s="184"/>
      <c r="K99" s="184"/>
      <c r="L99" s="184"/>
      <c r="M99" s="184"/>
      <c r="N99" s="184"/>
      <c r="O99" s="184"/>
      <c r="P99" s="184"/>
      <c r="Q99" s="184"/>
      <c r="R99" s="184"/>
      <c r="S99" s="184"/>
      <c r="T99" s="184"/>
      <c r="U99" s="190"/>
      <c r="W99" s="2"/>
      <c r="X99"/>
      <c r="Y99"/>
    </row>
    <row r="100" spans="2:25" s="1" customFormat="1" ht="14.7" hidden="1" customHeight="1" outlineLevel="3" x14ac:dyDescent="0.3">
      <c r="B100" s="205" t="s">
        <v>48</v>
      </c>
      <c r="C100" s="569" t="s">
        <v>42</v>
      </c>
      <c r="D100" s="570"/>
      <c r="E100" s="184"/>
      <c r="F100" s="184"/>
      <c r="G100" s="184"/>
      <c r="H100" s="184"/>
      <c r="I100" s="184"/>
      <c r="J100" s="184"/>
      <c r="K100" s="184"/>
      <c r="L100" s="184"/>
      <c r="M100" s="184"/>
      <c r="N100" s="184"/>
      <c r="O100" s="184"/>
      <c r="P100" s="184"/>
      <c r="Q100" s="184"/>
      <c r="R100" s="184"/>
      <c r="S100" s="184"/>
      <c r="T100" s="184"/>
      <c r="U100" s="190"/>
      <c r="W100" s="2"/>
      <c r="X100"/>
      <c r="Y100"/>
    </row>
    <row r="101" spans="2:25" s="1" customFormat="1" ht="14.7" customHeight="1" outlineLevel="2" collapsed="1" x14ac:dyDescent="0.3">
      <c r="B101" s="200" t="s">
        <v>46</v>
      </c>
      <c r="C101" s="569" t="s">
        <v>42</v>
      </c>
      <c r="D101" s="570"/>
      <c r="E101" s="572">
        <v>0.5</v>
      </c>
      <c r="F101" s="573"/>
      <c r="G101" s="571" t="s">
        <v>43</v>
      </c>
      <c r="H101" s="570"/>
      <c r="I101" s="572">
        <v>1.2</v>
      </c>
      <c r="J101" s="573"/>
      <c r="K101" s="571" t="s">
        <v>49</v>
      </c>
      <c r="L101" s="569"/>
      <c r="M101" s="572">
        <v>0.7</v>
      </c>
      <c r="N101" s="573"/>
      <c r="O101" s="210"/>
      <c r="P101" s="208"/>
      <c r="Q101" s="208"/>
      <c r="R101" s="208"/>
      <c r="S101" s="208"/>
      <c r="T101" s="208"/>
      <c r="U101" s="209"/>
      <c r="W101" s="2"/>
      <c r="X101"/>
      <c r="Y101"/>
    </row>
    <row r="102" spans="2:25" s="1" customFormat="1" ht="14.7" hidden="1" customHeight="1" outlineLevel="3" x14ac:dyDescent="0.3">
      <c r="B102" s="202" t="s">
        <v>34</v>
      </c>
      <c r="C102" s="569" t="s">
        <v>42</v>
      </c>
      <c r="D102" s="570"/>
      <c r="E102" s="184"/>
      <c r="F102" s="184"/>
      <c r="G102" s="571" t="s">
        <v>43</v>
      </c>
      <c r="H102" s="570"/>
      <c r="I102" s="184"/>
      <c r="J102" s="184"/>
      <c r="K102" s="184"/>
      <c r="L102" s="184"/>
      <c r="M102" s="184"/>
      <c r="N102" s="184"/>
      <c r="O102" s="184"/>
      <c r="P102" s="184"/>
      <c r="Q102" s="184"/>
      <c r="R102" s="184"/>
      <c r="S102" s="184"/>
      <c r="T102" s="184"/>
      <c r="U102" s="190"/>
      <c r="W102" s="2"/>
      <c r="X102"/>
      <c r="Y102"/>
    </row>
    <row r="103" spans="2:25" s="1" customFormat="1" ht="14.7" hidden="1" customHeight="1" outlineLevel="3" x14ac:dyDescent="0.3">
      <c r="B103" s="203" t="s">
        <v>36</v>
      </c>
      <c r="C103" s="569" t="s">
        <v>42</v>
      </c>
      <c r="D103" s="570"/>
      <c r="E103" s="184"/>
      <c r="F103" s="184"/>
      <c r="G103" s="571" t="s">
        <v>43</v>
      </c>
      <c r="H103" s="570"/>
      <c r="I103" s="184"/>
      <c r="J103" s="184"/>
      <c r="K103" s="184"/>
      <c r="L103" s="184"/>
      <c r="M103" s="184"/>
      <c r="N103" s="184"/>
      <c r="O103" s="184"/>
      <c r="P103" s="184"/>
      <c r="Q103" s="184"/>
      <c r="R103" s="184"/>
      <c r="S103" s="184"/>
      <c r="T103" s="184"/>
      <c r="U103" s="190"/>
      <c r="W103" s="2"/>
      <c r="X103"/>
      <c r="Y103"/>
    </row>
    <row r="104" spans="2:25" s="1" customFormat="1" ht="14.7" hidden="1" customHeight="1" outlineLevel="3" x14ac:dyDescent="0.3">
      <c r="B104" s="203" t="s">
        <v>37</v>
      </c>
      <c r="C104" s="569" t="s">
        <v>42</v>
      </c>
      <c r="D104" s="570"/>
      <c r="E104" s="184"/>
      <c r="F104" s="184"/>
      <c r="G104" s="571" t="s">
        <v>43</v>
      </c>
      <c r="H104" s="570"/>
      <c r="I104" s="184"/>
      <c r="J104" s="184"/>
      <c r="K104" s="184"/>
      <c r="L104" s="184"/>
      <c r="M104" s="184"/>
      <c r="N104" s="184"/>
      <c r="O104" s="184"/>
      <c r="P104" s="184"/>
      <c r="Q104" s="184"/>
      <c r="R104" s="184"/>
      <c r="S104" s="184"/>
      <c r="T104" s="184"/>
      <c r="U104" s="190"/>
      <c r="W104" s="2"/>
      <c r="X104"/>
      <c r="Y104"/>
    </row>
    <row r="105" spans="2:25" s="1" customFormat="1" ht="14.7" hidden="1" customHeight="1" outlineLevel="3" x14ac:dyDescent="0.3">
      <c r="B105" s="204" t="s">
        <v>47</v>
      </c>
      <c r="C105" s="569" t="s">
        <v>42</v>
      </c>
      <c r="D105" s="570"/>
      <c r="E105" s="184"/>
      <c r="F105" s="184"/>
      <c r="G105" s="571" t="s">
        <v>43</v>
      </c>
      <c r="H105" s="570"/>
      <c r="I105" s="184"/>
      <c r="J105" s="184"/>
      <c r="K105" s="184"/>
      <c r="L105" s="184"/>
      <c r="M105" s="184"/>
      <c r="N105" s="184"/>
      <c r="O105" s="184"/>
      <c r="P105" s="184"/>
      <c r="Q105" s="184"/>
      <c r="R105" s="184"/>
      <c r="S105" s="184"/>
      <c r="T105" s="184"/>
      <c r="U105" s="190"/>
      <c r="W105" s="2"/>
      <c r="X105"/>
      <c r="Y105"/>
    </row>
    <row r="106" spans="2:25" s="1" customFormat="1" ht="14.7" hidden="1" customHeight="1" outlineLevel="3" x14ac:dyDescent="0.3">
      <c r="B106" s="205" t="s">
        <v>48</v>
      </c>
      <c r="C106" s="569" t="s">
        <v>42</v>
      </c>
      <c r="D106" s="570"/>
      <c r="E106" s="184"/>
      <c r="F106" s="184"/>
      <c r="G106" s="571" t="s">
        <v>43</v>
      </c>
      <c r="H106" s="570"/>
      <c r="I106" s="184"/>
      <c r="J106" s="184"/>
      <c r="K106" s="184"/>
      <c r="L106" s="184"/>
      <c r="M106" s="184"/>
      <c r="N106" s="184"/>
      <c r="O106" s="184"/>
      <c r="P106" s="184"/>
      <c r="Q106" s="184"/>
      <c r="R106" s="184"/>
      <c r="S106" s="184"/>
      <c r="T106" s="184"/>
      <c r="U106" s="190"/>
      <c r="W106" s="2"/>
      <c r="X106"/>
      <c r="Y106"/>
    </row>
    <row r="107" spans="2:25" s="1" customFormat="1" ht="14.7" customHeight="1" outlineLevel="2" collapsed="1" x14ac:dyDescent="0.3">
      <c r="B107" s="200" t="s">
        <v>253</v>
      </c>
      <c r="C107" s="569" t="s">
        <v>42</v>
      </c>
      <c r="D107" s="570"/>
      <c r="E107" s="572">
        <v>0.5</v>
      </c>
      <c r="F107" s="573"/>
      <c r="G107" s="571" t="s">
        <v>43</v>
      </c>
      <c r="H107" s="570"/>
      <c r="I107" s="572">
        <v>1.2</v>
      </c>
      <c r="J107" s="573"/>
      <c r="K107" s="571" t="s">
        <v>49</v>
      </c>
      <c r="L107" s="569"/>
      <c r="M107" s="572">
        <v>0.5</v>
      </c>
      <c r="N107" s="573"/>
      <c r="O107" s="210"/>
      <c r="P107" s="208"/>
      <c r="Q107" s="208"/>
      <c r="R107" s="208"/>
      <c r="S107" s="208"/>
      <c r="T107" s="208"/>
      <c r="U107" s="209"/>
      <c r="W107" s="2"/>
      <c r="X107"/>
      <c r="Y107"/>
    </row>
    <row r="108" spans="2:25" s="1" customFormat="1" ht="14.7" hidden="1" customHeight="1" outlineLevel="3" x14ac:dyDescent="0.3">
      <c r="B108" s="202" t="s">
        <v>34</v>
      </c>
      <c r="C108" s="184"/>
      <c r="D108" s="184"/>
      <c r="E108" s="184"/>
      <c r="F108" s="184"/>
      <c r="G108" s="184"/>
      <c r="H108" s="184"/>
      <c r="I108" s="184"/>
      <c r="J108" s="184"/>
      <c r="K108" s="184"/>
      <c r="L108" s="184"/>
      <c r="M108" s="184"/>
      <c r="N108" s="184"/>
      <c r="O108" s="184"/>
      <c r="P108" s="184"/>
      <c r="Q108" s="184"/>
      <c r="R108" s="184"/>
      <c r="S108" s="184"/>
      <c r="T108" s="184"/>
      <c r="U108" s="190"/>
      <c r="W108" s="2"/>
      <c r="X108"/>
      <c r="Y108"/>
    </row>
    <row r="109" spans="2:25" s="1" customFormat="1" ht="14.7" hidden="1" customHeight="1" outlineLevel="3" x14ac:dyDescent="0.3">
      <c r="B109" s="203" t="s">
        <v>36</v>
      </c>
      <c r="C109" s="184"/>
      <c r="D109" s="184"/>
      <c r="E109" s="184"/>
      <c r="F109" s="184"/>
      <c r="G109" s="184"/>
      <c r="H109" s="184"/>
      <c r="I109" s="184"/>
      <c r="J109" s="184"/>
      <c r="K109" s="184"/>
      <c r="L109" s="184"/>
      <c r="M109" s="184"/>
      <c r="N109" s="184"/>
      <c r="O109" s="184"/>
      <c r="P109" s="184"/>
      <c r="Q109" s="184"/>
      <c r="R109" s="184"/>
      <c r="S109" s="184"/>
      <c r="T109" s="184"/>
      <c r="U109" s="190"/>
      <c r="W109" s="2"/>
      <c r="X109"/>
      <c r="Y109"/>
    </row>
    <row r="110" spans="2:25" s="1" customFormat="1" ht="14.7" hidden="1" customHeight="1" outlineLevel="3" x14ac:dyDescent="0.3">
      <c r="B110" s="203" t="s">
        <v>37</v>
      </c>
      <c r="C110" s="184"/>
      <c r="D110" s="184"/>
      <c r="E110" s="184"/>
      <c r="F110" s="184"/>
      <c r="G110" s="184"/>
      <c r="H110" s="184"/>
      <c r="I110" s="184"/>
      <c r="J110" s="184"/>
      <c r="K110" s="184"/>
      <c r="L110" s="184"/>
      <c r="M110" s="184"/>
      <c r="N110" s="184"/>
      <c r="O110" s="184"/>
      <c r="P110" s="184"/>
      <c r="Q110" s="184"/>
      <c r="R110" s="184"/>
      <c r="S110" s="184"/>
      <c r="T110" s="184"/>
      <c r="U110" s="190"/>
      <c r="W110" s="2"/>
      <c r="X110"/>
      <c r="Y110"/>
    </row>
    <row r="111" spans="2:25" s="1" customFormat="1" ht="14.7" hidden="1" customHeight="1" outlineLevel="3" x14ac:dyDescent="0.3">
      <c r="B111" s="204" t="s">
        <v>47</v>
      </c>
      <c r="C111" s="184"/>
      <c r="D111" s="184"/>
      <c r="E111" s="184"/>
      <c r="F111" s="184"/>
      <c r="G111" s="184"/>
      <c r="H111" s="184"/>
      <c r="I111" s="184"/>
      <c r="J111" s="184"/>
      <c r="K111" s="184"/>
      <c r="L111" s="184"/>
      <c r="M111" s="184"/>
      <c r="N111" s="184"/>
      <c r="O111" s="184"/>
      <c r="P111" s="184"/>
      <c r="Q111" s="184"/>
      <c r="R111" s="184"/>
      <c r="S111" s="184"/>
      <c r="T111" s="184"/>
      <c r="U111" s="190"/>
      <c r="W111" s="2"/>
      <c r="X111"/>
      <c r="Y111"/>
    </row>
    <row r="112" spans="2:25" s="1" customFormat="1" ht="14.7" hidden="1" customHeight="1" outlineLevel="3" x14ac:dyDescent="0.3">
      <c r="B112" s="205" t="s">
        <v>48</v>
      </c>
      <c r="C112" s="184"/>
      <c r="D112" s="184"/>
      <c r="E112" s="184"/>
      <c r="F112" s="184"/>
      <c r="G112" s="184"/>
      <c r="H112" s="184"/>
      <c r="I112" s="184"/>
      <c r="J112" s="184"/>
      <c r="K112" s="184"/>
      <c r="L112" s="184"/>
      <c r="M112" s="184"/>
      <c r="N112" s="184"/>
      <c r="O112" s="184"/>
      <c r="P112" s="184"/>
      <c r="Q112" s="184"/>
      <c r="R112" s="184"/>
      <c r="S112" s="184"/>
      <c r="T112" s="184"/>
      <c r="U112" s="190"/>
      <c r="W112" s="2"/>
      <c r="X112"/>
      <c r="Y112"/>
    </row>
    <row r="113" spans="2:25" s="1" customFormat="1" ht="14.7" customHeight="1" outlineLevel="2" x14ac:dyDescent="0.3">
      <c r="B113" s="200" t="s">
        <v>35</v>
      </c>
      <c r="C113" s="208"/>
      <c r="D113" s="208"/>
      <c r="E113" s="208"/>
      <c r="F113" s="208"/>
      <c r="G113" s="208"/>
      <c r="H113" s="208"/>
      <c r="I113" s="208"/>
      <c r="J113" s="208"/>
      <c r="K113" s="208"/>
      <c r="L113" s="208"/>
      <c r="M113" s="208"/>
      <c r="N113" s="208"/>
      <c r="O113" s="208"/>
      <c r="P113" s="208"/>
      <c r="Q113" s="208"/>
      <c r="R113" s="208"/>
      <c r="S113" s="208"/>
      <c r="T113" s="208"/>
      <c r="U113" s="209"/>
      <c r="W113" s="2"/>
      <c r="X113"/>
      <c r="Y113"/>
    </row>
    <row r="114" spans="2:25" s="1" customFormat="1" ht="14.7" customHeight="1" outlineLevel="1" x14ac:dyDescent="0.3">
      <c r="B114" s="250" t="s">
        <v>33</v>
      </c>
      <c r="C114" s="206"/>
      <c r="D114" s="206"/>
      <c r="E114" s="206"/>
      <c r="F114" s="206"/>
      <c r="G114" s="206"/>
      <c r="H114" s="206"/>
      <c r="I114" s="206"/>
      <c r="J114" s="206"/>
      <c r="K114" s="206"/>
      <c r="L114" s="206"/>
      <c r="M114" s="206"/>
      <c r="N114" s="206"/>
      <c r="O114" s="206"/>
      <c r="P114" s="206"/>
      <c r="Q114" s="206"/>
      <c r="R114" s="206"/>
      <c r="S114" s="206"/>
      <c r="T114" s="206"/>
      <c r="U114" s="207"/>
      <c r="W114" s="2"/>
      <c r="X114"/>
      <c r="Y114"/>
    </row>
    <row r="115" spans="2:25" outlineLevel="2" x14ac:dyDescent="0.3">
      <c r="B115" s="200" t="s">
        <v>44</v>
      </c>
      <c r="C115" s="206">
        <f>SUM(C121,C127,C133)</f>
        <v>0</v>
      </c>
      <c r="D115" s="206">
        <f t="shared" ref="D115:U115" si="7">SUM(D121,D127,D133)</f>
        <v>0</v>
      </c>
      <c r="E115" s="206">
        <f t="shared" si="7"/>
        <v>0</v>
      </c>
      <c r="F115" s="206">
        <f t="shared" si="7"/>
        <v>0</v>
      </c>
      <c r="G115" s="206">
        <f t="shared" si="7"/>
        <v>0</v>
      </c>
      <c r="H115" s="206">
        <f t="shared" si="7"/>
        <v>0</v>
      </c>
      <c r="I115" s="206">
        <f t="shared" si="7"/>
        <v>0</v>
      </c>
      <c r="J115" s="206">
        <f t="shared" si="7"/>
        <v>0</v>
      </c>
      <c r="K115" s="206">
        <f t="shared" si="7"/>
        <v>0</v>
      </c>
      <c r="L115" s="206">
        <f t="shared" si="7"/>
        <v>0</v>
      </c>
      <c r="M115" s="206">
        <f t="shared" si="7"/>
        <v>0</v>
      </c>
      <c r="N115" s="206">
        <f t="shared" si="7"/>
        <v>0</v>
      </c>
      <c r="O115" s="206">
        <f t="shared" si="7"/>
        <v>0</v>
      </c>
      <c r="P115" s="206">
        <f t="shared" si="7"/>
        <v>0</v>
      </c>
      <c r="Q115" s="206">
        <f t="shared" si="7"/>
        <v>0</v>
      </c>
      <c r="R115" s="206">
        <f t="shared" si="7"/>
        <v>0</v>
      </c>
      <c r="S115" s="206">
        <f t="shared" si="7"/>
        <v>0</v>
      </c>
      <c r="T115" s="206">
        <f t="shared" si="7"/>
        <v>0</v>
      </c>
      <c r="U115" s="207">
        <f t="shared" si="7"/>
        <v>0</v>
      </c>
    </row>
    <row r="116" spans="2:25" outlineLevel="2" x14ac:dyDescent="0.3">
      <c r="B116" s="211" t="s">
        <v>45</v>
      </c>
      <c r="C116" s="183">
        <f>SUM(C120,C122,C126,C128,C132,C134,C135)</f>
        <v>0</v>
      </c>
      <c r="D116" s="183"/>
      <c r="E116" s="183"/>
      <c r="F116" s="183"/>
      <c r="G116" s="183"/>
      <c r="H116" s="183"/>
      <c r="I116" s="183"/>
      <c r="J116" s="183"/>
      <c r="K116" s="183"/>
      <c r="L116" s="183"/>
      <c r="M116" s="183"/>
      <c r="N116" s="183"/>
      <c r="O116" s="183"/>
      <c r="P116" s="183"/>
      <c r="Q116" s="183"/>
      <c r="R116" s="183"/>
      <c r="S116" s="183"/>
      <c r="T116" s="183"/>
      <c r="U116" s="189"/>
    </row>
    <row r="117" spans="2:25" s="1" customFormat="1" ht="14.7" customHeight="1" outlineLevel="2" collapsed="1" x14ac:dyDescent="0.3">
      <c r="B117" s="211" t="s">
        <v>32</v>
      </c>
      <c r="C117" s="569" t="s">
        <v>42</v>
      </c>
      <c r="D117" s="570"/>
      <c r="E117" s="572">
        <v>0.5</v>
      </c>
      <c r="F117" s="573"/>
      <c r="G117" s="571" t="s">
        <v>43</v>
      </c>
      <c r="H117" s="570"/>
      <c r="I117" s="572">
        <v>1.2</v>
      </c>
      <c r="J117" s="573"/>
      <c r="K117" s="571" t="s">
        <v>49</v>
      </c>
      <c r="L117" s="569"/>
      <c r="M117" s="572">
        <v>0.9</v>
      </c>
      <c r="N117" s="573"/>
      <c r="O117" s="210"/>
      <c r="P117" s="208"/>
      <c r="Q117" s="208"/>
      <c r="R117" s="208"/>
      <c r="S117" s="208"/>
      <c r="T117" s="208"/>
      <c r="U117" s="209"/>
      <c r="W117" s="2"/>
      <c r="X117"/>
      <c r="Y117"/>
    </row>
    <row r="118" spans="2:25" s="1" customFormat="1" ht="14.7" hidden="1" customHeight="1" outlineLevel="3" x14ac:dyDescent="0.3">
      <c r="B118" s="202" t="s">
        <v>34</v>
      </c>
      <c r="C118" s="569" t="s">
        <v>42</v>
      </c>
      <c r="D118" s="570"/>
      <c r="E118" s="184"/>
      <c r="F118" s="184"/>
      <c r="G118" s="184"/>
      <c r="H118" s="184"/>
      <c r="I118" s="184"/>
      <c r="J118" s="184"/>
      <c r="K118" s="184"/>
      <c r="L118" s="184"/>
      <c r="M118" s="184"/>
      <c r="N118" s="184"/>
      <c r="O118" s="184"/>
      <c r="P118" s="184"/>
      <c r="Q118" s="184"/>
      <c r="R118" s="184"/>
      <c r="S118" s="184"/>
      <c r="T118" s="184"/>
      <c r="U118" s="190"/>
      <c r="W118" s="2"/>
      <c r="X118"/>
      <c r="Y118"/>
    </row>
    <row r="119" spans="2:25" s="1" customFormat="1" ht="14.7" hidden="1" customHeight="1" outlineLevel="3" x14ac:dyDescent="0.3">
      <c r="B119" s="203" t="s">
        <v>36</v>
      </c>
      <c r="C119" s="569" t="s">
        <v>42</v>
      </c>
      <c r="D119" s="570"/>
      <c r="E119" s="184"/>
      <c r="F119" s="184"/>
      <c r="G119" s="184"/>
      <c r="H119" s="184"/>
      <c r="I119" s="184"/>
      <c r="J119" s="184"/>
      <c r="K119" s="184"/>
      <c r="L119" s="184"/>
      <c r="M119" s="184"/>
      <c r="N119" s="184"/>
      <c r="O119" s="184"/>
      <c r="P119" s="184"/>
      <c r="Q119" s="184"/>
      <c r="R119" s="184"/>
      <c r="S119" s="184"/>
      <c r="T119" s="184"/>
      <c r="U119" s="190"/>
      <c r="W119" s="2"/>
      <c r="X119"/>
      <c r="Y119"/>
    </row>
    <row r="120" spans="2:25" s="1" customFormat="1" ht="14.7" hidden="1" customHeight="1" outlineLevel="3" x14ac:dyDescent="0.3">
      <c r="B120" s="203" t="s">
        <v>37</v>
      </c>
      <c r="C120" s="569" t="s">
        <v>42</v>
      </c>
      <c r="D120" s="570"/>
      <c r="E120" s="184"/>
      <c r="F120" s="184"/>
      <c r="G120" s="184"/>
      <c r="H120" s="184"/>
      <c r="I120" s="184"/>
      <c r="J120" s="184"/>
      <c r="K120" s="184"/>
      <c r="L120" s="184"/>
      <c r="M120" s="184"/>
      <c r="N120" s="184"/>
      <c r="O120" s="184"/>
      <c r="P120" s="184"/>
      <c r="Q120" s="184"/>
      <c r="R120" s="184"/>
      <c r="S120" s="184"/>
      <c r="T120" s="184"/>
      <c r="U120" s="190"/>
      <c r="W120" s="2"/>
      <c r="X120"/>
      <c r="Y120"/>
    </row>
    <row r="121" spans="2:25" s="1" customFormat="1" ht="14.7" hidden="1" customHeight="1" outlineLevel="3" x14ac:dyDescent="0.3">
      <c r="B121" s="204" t="s">
        <v>47</v>
      </c>
      <c r="C121" s="569" t="s">
        <v>42</v>
      </c>
      <c r="D121" s="570"/>
      <c r="E121" s="184"/>
      <c r="F121" s="184"/>
      <c r="G121" s="184"/>
      <c r="H121" s="184"/>
      <c r="I121" s="184"/>
      <c r="J121" s="184"/>
      <c r="K121" s="184"/>
      <c r="L121" s="184"/>
      <c r="M121" s="184"/>
      <c r="N121" s="184"/>
      <c r="O121" s="184"/>
      <c r="P121" s="184"/>
      <c r="Q121" s="184"/>
      <c r="R121" s="184"/>
      <c r="S121" s="184"/>
      <c r="T121" s="184"/>
      <c r="U121" s="190"/>
      <c r="W121" s="2"/>
      <c r="X121"/>
      <c r="Y121"/>
    </row>
    <row r="122" spans="2:25" s="1" customFormat="1" ht="14.7" hidden="1" customHeight="1" outlineLevel="3" x14ac:dyDescent="0.3">
      <c r="B122" s="205" t="s">
        <v>48</v>
      </c>
      <c r="C122" s="569" t="s">
        <v>42</v>
      </c>
      <c r="D122" s="570"/>
      <c r="E122" s="184"/>
      <c r="F122" s="184"/>
      <c r="G122" s="184"/>
      <c r="H122" s="184"/>
      <c r="I122" s="184"/>
      <c r="J122" s="184"/>
      <c r="K122" s="184"/>
      <c r="L122" s="184"/>
      <c r="M122" s="184"/>
      <c r="N122" s="184"/>
      <c r="O122" s="184"/>
      <c r="P122" s="184"/>
      <c r="Q122" s="184"/>
      <c r="R122" s="184"/>
      <c r="S122" s="184"/>
      <c r="T122" s="184"/>
      <c r="U122" s="190"/>
      <c r="W122" s="2"/>
      <c r="X122"/>
      <c r="Y122"/>
    </row>
    <row r="123" spans="2:25" s="1" customFormat="1" ht="14.7" customHeight="1" outlineLevel="2" collapsed="1" x14ac:dyDescent="0.3">
      <c r="B123" s="200" t="s">
        <v>46</v>
      </c>
      <c r="C123" s="569" t="s">
        <v>42</v>
      </c>
      <c r="D123" s="570"/>
      <c r="E123" s="572">
        <v>0.5</v>
      </c>
      <c r="F123" s="573"/>
      <c r="G123" s="571" t="s">
        <v>43</v>
      </c>
      <c r="H123" s="570"/>
      <c r="I123" s="572">
        <v>1.2</v>
      </c>
      <c r="J123" s="573"/>
      <c r="K123" s="571" t="s">
        <v>49</v>
      </c>
      <c r="L123" s="569"/>
      <c r="M123" s="572">
        <v>0.7</v>
      </c>
      <c r="N123" s="573"/>
      <c r="O123" s="210"/>
      <c r="P123" s="208"/>
      <c r="Q123" s="208"/>
      <c r="R123" s="208"/>
      <c r="S123" s="208"/>
      <c r="T123" s="208"/>
      <c r="U123" s="209"/>
      <c r="W123" s="2"/>
      <c r="X123"/>
      <c r="Y123"/>
    </row>
    <row r="124" spans="2:25" s="1" customFormat="1" ht="14.7" hidden="1" customHeight="1" outlineLevel="3" x14ac:dyDescent="0.3">
      <c r="B124" s="202" t="s">
        <v>34</v>
      </c>
      <c r="C124" s="569" t="s">
        <v>42</v>
      </c>
      <c r="D124" s="570"/>
      <c r="E124" s="184"/>
      <c r="F124" s="184"/>
      <c r="G124" s="571" t="s">
        <v>43</v>
      </c>
      <c r="H124" s="570"/>
      <c r="I124" s="184"/>
      <c r="J124" s="184"/>
      <c r="K124" s="184"/>
      <c r="L124" s="184"/>
      <c r="M124" s="184"/>
      <c r="N124" s="184"/>
      <c r="O124" s="184"/>
      <c r="P124" s="184"/>
      <c r="Q124" s="184"/>
      <c r="R124" s="184"/>
      <c r="S124" s="184"/>
      <c r="T124" s="184"/>
      <c r="U124" s="190"/>
      <c r="W124" s="2"/>
      <c r="X124"/>
      <c r="Y124"/>
    </row>
    <row r="125" spans="2:25" s="1" customFormat="1" ht="14.7" hidden="1" customHeight="1" outlineLevel="3" x14ac:dyDescent="0.3">
      <c r="B125" s="203" t="s">
        <v>36</v>
      </c>
      <c r="C125" s="569" t="s">
        <v>42</v>
      </c>
      <c r="D125" s="570"/>
      <c r="E125" s="184"/>
      <c r="F125" s="184"/>
      <c r="G125" s="571" t="s">
        <v>43</v>
      </c>
      <c r="H125" s="570"/>
      <c r="I125" s="184"/>
      <c r="J125" s="184"/>
      <c r="K125" s="184"/>
      <c r="L125" s="184"/>
      <c r="M125" s="184"/>
      <c r="N125" s="184"/>
      <c r="O125" s="184"/>
      <c r="P125" s="184"/>
      <c r="Q125" s="184"/>
      <c r="R125" s="184"/>
      <c r="S125" s="184"/>
      <c r="T125" s="184"/>
      <c r="U125" s="190"/>
      <c r="W125" s="2"/>
      <c r="X125"/>
      <c r="Y125"/>
    </row>
    <row r="126" spans="2:25" s="1" customFormat="1" ht="14.7" hidden="1" customHeight="1" outlineLevel="3" x14ac:dyDescent="0.3">
      <c r="B126" s="203" t="s">
        <v>37</v>
      </c>
      <c r="C126" s="569" t="s">
        <v>42</v>
      </c>
      <c r="D126" s="570"/>
      <c r="E126" s="184"/>
      <c r="F126" s="184"/>
      <c r="G126" s="571" t="s">
        <v>43</v>
      </c>
      <c r="H126" s="570"/>
      <c r="I126" s="184"/>
      <c r="J126" s="184"/>
      <c r="K126" s="184"/>
      <c r="L126" s="184"/>
      <c r="M126" s="184"/>
      <c r="N126" s="184"/>
      <c r="O126" s="184"/>
      <c r="P126" s="184"/>
      <c r="Q126" s="184"/>
      <c r="R126" s="184"/>
      <c r="S126" s="184"/>
      <c r="T126" s="184"/>
      <c r="U126" s="190"/>
      <c r="W126" s="2"/>
      <c r="X126"/>
      <c r="Y126"/>
    </row>
    <row r="127" spans="2:25" s="1" customFormat="1" ht="14.7" hidden="1" customHeight="1" outlineLevel="3" x14ac:dyDescent="0.3">
      <c r="B127" s="204" t="s">
        <v>47</v>
      </c>
      <c r="C127" s="569" t="s">
        <v>42</v>
      </c>
      <c r="D127" s="570"/>
      <c r="E127" s="184"/>
      <c r="F127" s="184"/>
      <c r="G127" s="571" t="s">
        <v>43</v>
      </c>
      <c r="H127" s="570"/>
      <c r="I127" s="184"/>
      <c r="J127" s="184"/>
      <c r="K127" s="184"/>
      <c r="L127" s="184"/>
      <c r="M127" s="184"/>
      <c r="N127" s="184"/>
      <c r="O127" s="184"/>
      <c r="P127" s="184"/>
      <c r="Q127" s="184"/>
      <c r="R127" s="184"/>
      <c r="S127" s="184"/>
      <c r="T127" s="184"/>
      <c r="U127" s="190"/>
      <c r="W127" s="2"/>
      <c r="X127"/>
      <c r="Y127"/>
    </row>
    <row r="128" spans="2:25" s="1" customFormat="1" ht="14.7" hidden="1" customHeight="1" outlineLevel="3" x14ac:dyDescent="0.3">
      <c r="B128" s="205" t="s">
        <v>48</v>
      </c>
      <c r="C128" s="569" t="s">
        <v>42</v>
      </c>
      <c r="D128" s="570"/>
      <c r="E128" s="184"/>
      <c r="F128" s="184"/>
      <c r="G128" s="571" t="s">
        <v>43</v>
      </c>
      <c r="H128" s="570"/>
      <c r="I128" s="184"/>
      <c r="J128" s="184"/>
      <c r="K128" s="184"/>
      <c r="L128" s="184"/>
      <c r="M128" s="184"/>
      <c r="N128" s="184"/>
      <c r="O128" s="184"/>
      <c r="P128" s="184"/>
      <c r="Q128" s="184"/>
      <c r="R128" s="184"/>
      <c r="S128" s="184"/>
      <c r="T128" s="184"/>
      <c r="U128" s="190"/>
      <c r="W128" s="2"/>
      <c r="X128"/>
      <c r="Y128"/>
    </row>
    <row r="129" spans="2:25" s="1" customFormat="1" ht="14.7" customHeight="1" outlineLevel="2" collapsed="1" x14ac:dyDescent="0.3">
      <c r="B129" s="200" t="s">
        <v>253</v>
      </c>
      <c r="C129" s="569" t="s">
        <v>42</v>
      </c>
      <c r="D129" s="570"/>
      <c r="E129" s="572">
        <v>0.5</v>
      </c>
      <c r="F129" s="573"/>
      <c r="G129" s="571" t="s">
        <v>43</v>
      </c>
      <c r="H129" s="570"/>
      <c r="I129" s="572">
        <v>1.2</v>
      </c>
      <c r="J129" s="573"/>
      <c r="K129" s="571" t="s">
        <v>49</v>
      </c>
      <c r="L129" s="569"/>
      <c r="M129" s="572">
        <v>0.5</v>
      </c>
      <c r="N129" s="573"/>
      <c r="O129" s="210"/>
      <c r="P129" s="208"/>
      <c r="Q129" s="208"/>
      <c r="R129" s="208"/>
      <c r="S129" s="208"/>
      <c r="T129" s="208"/>
      <c r="U129" s="209"/>
      <c r="W129" s="2"/>
      <c r="X129"/>
      <c r="Y129"/>
    </row>
    <row r="130" spans="2:25" s="1" customFormat="1" ht="14.7" hidden="1" customHeight="1" outlineLevel="3" x14ac:dyDescent="0.3">
      <c r="B130" s="202" t="s">
        <v>34</v>
      </c>
      <c r="C130" s="236"/>
      <c r="D130" s="236"/>
      <c r="E130" s="236"/>
      <c r="F130" s="236"/>
      <c r="G130" s="236"/>
      <c r="H130" s="236"/>
      <c r="I130" s="236"/>
      <c r="J130" s="236"/>
      <c r="K130" s="236"/>
      <c r="L130" s="236"/>
      <c r="M130" s="236"/>
      <c r="N130" s="236"/>
      <c r="O130" s="236"/>
      <c r="P130" s="236"/>
      <c r="Q130" s="236"/>
      <c r="R130" s="236"/>
      <c r="S130" s="236"/>
      <c r="T130" s="236"/>
      <c r="U130" s="237"/>
      <c r="W130" s="2"/>
      <c r="X130"/>
      <c r="Y130"/>
    </row>
    <row r="131" spans="2:25" s="1" customFormat="1" ht="14.7" hidden="1" customHeight="1" outlineLevel="3" x14ac:dyDescent="0.3">
      <c r="B131" s="203" t="s">
        <v>36</v>
      </c>
      <c r="C131" s="184"/>
      <c r="D131" s="184"/>
      <c r="E131" s="184"/>
      <c r="F131" s="184"/>
      <c r="G131" s="184"/>
      <c r="H131" s="184"/>
      <c r="I131" s="184"/>
      <c r="J131" s="184"/>
      <c r="K131" s="184"/>
      <c r="L131" s="184"/>
      <c r="M131" s="184"/>
      <c r="N131" s="184"/>
      <c r="O131" s="184"/>
      <c r="P131" s="184"/>
      <c r="Q131" s="184"/>
      <c r="R131" s="184"/>
      <c r="S131" s="184"/>
      <c r="T131" s="184"/>
      <c r="U131" s="190"/>
      <c r="W131" s="2"/>
      <c r="X131"/>
      <c r="Y131"/>
    </row>
    <row r="132" spans="2:25" s="1" customFormat="1" ht="14.7" hidden="1" customHeight="1" outlineLevel="3" x14ac:dyDescent="0.3">
      <c r="B132" s="203" t="s">
        <v>37</v>
      </c>
      <c r="C132" s="184"/>
      <c r="D132" s="184"/>
      <c r="E132" s="184"/>
      <c r="F132" s="184"/>
      <c r="G132" s="184"/>
      <c r="H132" s="184"/>
      <c r="I132" s="184"/>
      <c r="J132" s="184"/>
      <c r="K132" s="184"/>
      <c r="L132" s="184"/>
      <c r="M132" s="184"/>
      <c r="N132" s="184"/>
      <c r="O132" s="184"/>
      <c r="P132" s="184"/>
      <c r="Q132" s="184"/>
      <c r="R132" s="184"/>
      <c r="S132" s="184"/>
      <c r="T132" s="184"/>
      <c r="U132" s="190"/>
      <c r="W132" s="2"/>
      <c r="X132"/>
      <c r="Y132"/>
    </row>
    <row r="133" spans="2:25" s="1" customFormat="1" ht="14.7" hidden="1" customHeight="1" outlineLevel="3" x14ac:dyDescent="0.3">
      <c r="B133" s="204" t="s">
        <v>47</v>
      </c>
      <c r="C133" s="184"/>
      <c r="D133" s="184"/>
      <c r="E133" s="184"/>
      <c r="F133" s="184"/>
      <c r="G133" s="184"/>
      <c r="H133" s="184"/>
      <c r="I133" s="184"/>
      <c r="J133" s="184"/>
      <c r="K133" s="184"/>
      <c r="L133" s="184"/>
      <c r="M133" s="184"/>
      <c r="N133" s="184"/>
      <c r="O133" s="184"/>
      <c r="P133" s="184"/>
      <c r="Q133" s="184"/>
      <c r="R133" s="184"/>
      <c r="S133" s="184"/>
      <c r="T133" s="184"/>
      <c r="U133" s="190"/>
      <c r="W133" s="2"/>
      <c r="X133"/>
      <c r="Y133"/>
    </row>
    <row r="134" spans="2:25" s="1" customFormat="1" ht="14.7" hidden="1" customHeight="1" outlineLevel="3" x14ac:dyDescent="0.3">
      <c r="B134" s="205" t="s">
        <v>48</v>
      </c>
      <c r="C134" s="238"/>
      <c r="D134" s="238"/>
      <c r="E134" s="238"/>
      <c r="F134" s="238"/>
      <c r="G134" s="238"/>
      <c r="H134" s="238"/>
      <c r="I134" s="238"/>
      <c r="J134" s="238"/>
      <c r="K134" s="238"/>
      <c r="L134" s="238"/>
      <c r="M134" s="238"/>
      <c r="N134" s="238"/>
      <c r="O134" s="238"/>
      <c r="P134" s="238"/>
      <c r="Q134" s="238"/>
      <c r="R134" s="238"/>
      <c r="S134" s="238"/>
      <c r="T134" s="238"/>
      <c r="U134" s="239"/>
      <c r="W134" s="2"/>
      <c r="X134"/>
      <c r="Y134"/>
    </row>
    <row r="135" spans="2:25" s="1" customFormat="1" ht="14.7" customHeight="1" outlineLevel="2" x14ac:dyDescent="0.3">
      <c r="B135" s="212" t="s">
        <v>35</v>
      </c>
      <c r="C135" s="184"/>
      <c r="D135" s="184"/>
      <c r="E135" s="184"/>
      <c r="F135" s="184"/>
      <c r="G135" s="184"/>
      <c r="H135" s="184"/>
      <c r="I135" s="184"/>
      <c r="J135" s="184"/>
      <c r="K135" s="184"/>
      <c r="L135" s="184"/>
      <c r="M135" s="184"/>
      <c r="N135" s="184"/>
      <c r="O135" s="184"/>
      <c r="P135" s="184"/>
      <c r="Q135" s="184"/>
      <c r="R135" s="184"/>
      <c r="S135" s="184"/>
      <c r="T135" s="184"/>
      <c r="U135" s="190"/>
      <c r="W135" s="2"/>
      <c r="X135"/>
      <c r="Y135"/>
    </row>
    <row r="136" spans="2:25" s="1" customFormat="1" ht="14.7" customHeight="1" outlineLevel="1" x14ac:dyDescent="0.3">
      <c r="B136" s="250" t="s">
        <v>52</v>
      </c>
      <c r="C136" s="206"/>
      <c r="D136" s="206"/>
      <c r="E136" s="206"/>
      <c r="F136" s="206"/>
      <c r="G136" s="206"/>
      <c r="H136" s="206"/>
      <c r="I136" s="206"/>
      <c r="J136" s="206"/>
      <c r="K136" s="206"/>
      <c r="L136" s="206"/>
      <c r="M136" s="206"/>
      <c r="N136" s="206"/>
      <c r="O136" s="206"/>
      <c r="P136" s="206"/>
      <c r="Q136" s="206"/>
      <c r="R136" s="206"/>
      <c r="S136" s="206"/>
      <c r="T136" s="206"/>
      <c r="U136" s="207"/>
      <c r="W136" s="2"/>
      <c r="X136"/>
      <c r="Y136"/>
    </row>
    <row r="137" spans="2:25" outlineLevel="2" x14ac:dyDescent="0.3">
      <c r="B137" s="200" t="s">
        <v>44</v>
      </c>
      <c r="C137" s="240">
        <f>SUM(C143,C149,C155)</f>
        <v>0</v>
      </c>
      <c r="D137" s="240">
        <f t="shared" ref="D137:U137" si="8">SUM(D143,D149,D155)</f>
        <v>0</v>
      </c>
      <c r="E137" s="240">
        <f t="shared" si="8"/>
        <v>0</v>
      </c>
      <c r="F137" s="240">
        <f t="shared" si="8"/>
        <v>0</v>
      </c>
      <c r="G137" s="240">
        <f t="shared" si="8"/>
        <v>0</v>
      </c>
      <c r="H137" s="240">
        <f t="shared" si="8"/>
        <v>0</v>
      </c>
      <c r="I137" s="240">
        <f t="shared" si="8"/>
        <v>0</v>
      </c>
      <c r="J137" s="240">
        <f t="shared" si="8"/>
        <v>0</v>
      </c>
      <c r="K137" s="240">
        <f t="shared" si="8"/>
        <v>0</v>
      </c>
      <c r="L137" s="240">
        <f t="shared" si="8"/>
        <v>0</v>
      </c>
      <c r="M137" s="240">
        <f t="shared" si="8"/>
        <v>0</v>
      </c>
      <c r="N137" s="240">
        <f t="shared" si="8"/>
        <v>0</v>
      </c>
      <c r="O137" s="240">
        <f t="shared" si="8"/>
        <v>0</v>
      </c>
      <c r="P137" s="240">
        <f t="shared" si="8"/>
        <v>0</v>
      </c>
      <c r="Q137" s="240">
        <f t="shared" si="8"/>
        <v>0</v>
      </c>
      <c r="R137" s="240">
        <f t="shared" si="8"/>
        <v>0</v>
      </c>
      <c r="S137" s="240">
        <f t="shared" si="8"/>
        <v>0</v>
      </c>
      <c r="T137" s="240">
        <f t="shared" si="8"/>
        <v>0</v>
      </c>
      <c r="U137" s="193">
        <f t="shared" si="8"/>
        <v>0</v>
      </c>
    </row>
    <row r="138" spans="2:25" outlineLevel="2" x14ac:dyDescent="0.3">
      <c r="B138" s="211" t="s">
        <v>45</v>
      </c>
      <c r="C138" s="241">
        <f>SUM(C142,C144,C148,C150,C154,C156,C157)</f>
        <v>0</v>
      </c>
      <c r="D138" s="241"/>
      <c r="E138" s="241"/>
      <c r="F138" s="241"/>
      <c r="G138" s="241"/>
      <c r="H138" s="241"/>
      <c r="I138" s="241"/>
      <c r="J138" s="241"/>
      <c r="K138" s="241"/>
      <c r="L138" s="241"/>
      <c r="M138" s="241"/>
      <c r="N138" s="241"/>
      <c r="O138" s="241"/>
      <c r="P138" s="241"/>
      <c r="Q138" s="241"/>
      <c r="R138" s="241"/>
      <c r="S138" s="241"/>
      <c r="T138" s="241"/>
      <c r="U138" s="242"/>
    </row>
    <row r="139" spans="2:25" s="1" customFormat="1" ht="14.7" customHeight="1" outlineLevel="2" collapsed="1" x14ac:dyDescent="0.3">
      <c r="B139" s="211" t="s">
        <v>32</v>
      </c>
      <c r="C139" s="569" t="s">
        <v>42</v>
      </c>
      <c r="D139" s="570"/>
      <c r="E139" s="572">
        <v>0.5</v>
      </c>
      <c r="F139" s="573"/>
      <c r="G139" s="571" t="s">
        <v>43</v>
      </c>
      <c r="H139" s="570"/>
      <c r="I139" s="572">
        <v>0.8</v>
      </c>
      <c r="J139" s="573"/>
      <c r="K139" s="571" t="s">
        <v>49</v>
      </c>
      <c r="L139" s="569"/>
      <c r="M139" s="572">
        <v>0.9</v>
      </c>
      <c r="N139" s="573"/>
      <c r="O139" s="210"/>
      <c r="P139" s="208"/>
      <c r="Q139" s="208"/>
      <c r="R139" s="208"/>
      <c r="S139" s="208"/>
      <c r="T139" s="208"/>
      <c r="U139" s="209"/>
      <c r="W139" s="2"/>
      <c r="X139"/>
      <c r="Y139"/>
    </row>
    <row r="140" spans="2:25" s="1" customFormat="1" ht="14.7" hidden="1" customHeight="1" outlineLevel="3" x14ac:dyDescent="0.3">
      <c r="B140" s="202" t="s">
        <v>34</v>
      </c>
      <c r="C140" s="569" t="s">
        <v>42</v>
      </c>
      <c r="D140" s="570"/>
      <c r="E140" s="184"/>
      <c r="F140" s="184"/>
      <c r="G140" s="184"/>
      <c r="H140" s="184"/>
      <c r="I140" s="184"/>
      <c r="J140" s="184"/>
      <c r="K140" s="184"/>
      <c r="L140" s="184"/>
      <c r="M140" s="184"/>
      <c r="N140" s="184"/>
      <c r="O140" s="184"/>
      <c r="P140" s="184"/>
      <c r="Q140" s="184"/>
      <c r="R140" s="184"/>
      <c r="S140" s="184"/>
      <c r="T140" s="184"/>
      <c r="U140" s="190"/>
      <c r="W140" s="2"/>
      <c r="X140"/>
      <c r="Y140"/>
    </row>
    <row r="141" spans="2:25" s="1" customFormat="1" ht="14.7" hidden="1" customHeight="1" outlineLevel="3" x14ac:dyDescent="0.3">
      <c r="B141" s="203" t="s">
        <v>36</v>
      </c>
      <c r="C141" s="569" t="s">
        <v>42</v>
      </c>
      <c r="D141" s="570"/>
      <c r="E141" s="184"/>
      <c r="F141" s="184"/>
      <c r="G141" s="184"/>
      <c r="H141" s="184"/>
      <c r="I141" s="184"/>
      <c r="J141" s="184"/>
      <c r="K141" s="184"/>
      <c r="L141" s="184"/>
      <c r="M141" s="184"/>
      <c r="N141" s="184"/>
      <c r="O141" s="184"/>
      <c r="P141" s="184"/>
      <c r="Q141" s="184"/>
      <c r="R141" s="184"/>
      <c r="S141" s="184"/>
      <c r="T141" s="184"/>
      <c r="U141" s="190"/>
      <c r="W141" s="2"/>
      <c r="X141"/>
      <c r="Y141"/>
    </row>
    <row r="142" spans="2:25" s="1" customFormat="1" ht="14.7" hidden="1" customHeight="1" outlineLevel="3" x14ac:dyDescent="0.3">
      <c r="B142" s="203" t="s">
        <v>37</v>
      </c>
      <c r="C142" s="569" t="s">
        <v>42</v>
      </c>
      <c r="D142" s="570"/>
      <c r="E142" s="184"/>
      <c r="F142" s="184"/>
      <c r="G142" s="184"/>
      <c r="H142" s="184"/>
      <c r="I142" s="184"/>
      <c r="J142" s="184"/>
      <c r="K142" s="184"/>
      <c r="L142" s="184"/>
      <c r="M142" s="184"/>
      <c r="N142" s="184"/>
      <c r="O142" s="184"/>
      <c r="P142" s="184"/>
      <c r="Q142" s="184"/>
      <c r="R142" s="184"/>
      <c r="S142" s="184"/>
      <c r="T142" s="184"/>
      <c r="U142" s="190"/>
      <c r="W142" s="2"/>
      <c r="X142"/>
      <c r="Y142"/>
    </row>
    <row r="143" spans="2:25" s="1" customFormat="1" ht="14.7" hidden="1" customHeight="1" outlineLevel="3" x14ac:dyDescent="0.3">
      <c r="B143" s="204" t="s">
        <v>47</v>
      </c>
      <c r="C143" s="569" t="s">
        <v>42</v>
      </c>
      <c r="D143" s="570"/>
      <c r="E143" s="184"/>
      <c r="F143" s="184"/>
      <c r="G143" s="184"/>
      <c r="H143" s="184"/>
      <c r="I143" s="184"/>
      <c r="J143" s="184"/>
      <c r="K143" s="184"/>
      <c r="L143" s="184"/>
      <c r="M143" s="184"/>
      <c r="N143" s="184"/>
      <c r="O143" s="184"/>
      <c r="P143" s="184"/>
      <c r="Q143" s="184"/>
      <c r="R143" s="184"/>
      <c r="S143" s="184"/>
      <c r="T143" s="184"/>
      <c r="U143" s="190"/>
      <c r="W143" s="2"/>
      <c r="X143"/>
      <c r="Y143"/>
    </row>
    <row r="144" spans="2:25" s="1" customFormat="1" ht="14.7" hidden="1" customHeight="1" outlineLevel="3" x14ac:dyDescent="0.3">
      <c r="B144" s="205" t="s">
        <v>48</v>
      </c>
      <c r="C144" s="569" t="s">
        <v>42</v>
      </c>
      <c r="D144" s="570"/>
      <c r="E144" s="184"/>
      <c r="F144" s="184"/>
      <c r="G144" s="184"/>
      <c r="H144" s="184"/>
      <c r="I144" s="184"/>
      <c r="J144" s="184"/>
      <c r="K144" s="184"/>
      <c r="L144" s="184"/>
      <c r="M144" s="184"/>
      <c r="N144" s="184"/>
      <c r="O144" s="184"/>
      <c r="P144" s="184"/>
      <c r="Q144" s="184"/>
      <c r="R144" s="184"/>
      <c r="S144" s="184"/>
      <c r="T144" s="184"/>
      <c r="U144" s="190"/>
      <c r="W144" s="2"/>
      <c r="X144"/>
      <c r="Y144"/>
    </row>
    <row r="145" spans="2:25" s="1" customFormat="1" ht="14.7" customHeight="1" outlineLevel="2" collapsed="1" x14ac:dyDescent="0.3">
      <c r="B145" s="200" t="s">
        <v>46</v>
      </c>
      <c r="C145" s="569" t="s">
        <v>42</v>
      </c>
      <c r="D145" s="570"/>
      <c r="E145" s="572">
        <v>0.5</v>
      </c>
      <c r="F145" s="573"/>
      <c r="G145" s="571" t="s">
        <v>43</v>
      </c>
      <c r="H145" s="570"/>
      <c r="I145" s="572">
        <v>0.8</v>
      </c>
      <c r="J145" s="573"/>
      <c r="K145" s="571" t="s">
        <v>49</v>
      </c>
      <c r="L145" s="569"/>
      <c r="M145" s="572">
        <v>0.7</v>
      </c>
      <c r="N145" s="573"/>
      <c r="O145" s="210"/>
      <c r="P145" s="208"/>
      <c r="Q145" s="208"/>
      <c r="R145" s="208"/>
      <c r="S145" s="208"/>
      <c r="T145" s="208"/>
      <c r="U145" s="209"/>
      <c r="W145" s="2"/>
      <c r="X145"/>
      <c r="Y145"/>
    </row>
    <row r="146" spans="2:25" s="1" customFormat="1" ht="14.7" hidden="1" customHeight="1" outlineLevel="3" x14ac:dyDescent="0.3">
      <c r="B146" s="202" t="s">
        <v>34</v>
      </c>
      <c r="C146" s="569" t="s">
        <v>42</v>
      </c>
      <c r="D146" s="570"/>
      <c r="E146" s="184"/>
      <c r="F146" s="184"/>
      <c r="G146" s="571" t="s">
        <v>43</v>
      </c>
      <c r="H146" s="570"/>
      <c r="I146" s="184"/>
      <c r="J146" s="184"/>
      <c r="K146" s="184"/>
      <c r="L146" s="184"/>
      <c r="M146" s="184"/>
      <c r="N146" s="184"/>
      <c r="O146" s="184"/>
      <c r="P146" s="184"/>
      <c r="Q146" s="184"/>
      <c r="R146" s="184"/>
      <c r="S146" s="184"/>
      <c r="T146" s="184"/>
      <c r="U146" s="190"/>
      <c r="W146" s="2"/>
      <c r="X146"/>
      <c r="Y146"/>
    </row>
    <row r="147" spans="2:25" s="1" customFormat="1" ht="14.7" hidden="1" customHeight="1" outlineLevel="3" x14ac:dyDescent="0.3">
      <c r="B147" s="203" t="s">
        <v>36</v>
      </c>
      <c r="C147" s="569" t="s">
        <v>42</v>
      </c>
      <c r="D147" s="570"/>
      <c r="E147" s="184"/>
      <c r="F147" s="184"/>
      <c r="G147" s="571" t="s">
        <v>43</v>
      </c>
      <c r="H147" s="570"/>
      <c r="I147" s="184"/>
      <c r="J147" s="184"/>
      <c r="K147" s="184"/>
      <c r="L147" s="184"/>
      <c r="M147" s="184"/>
      <c r="N147" s="184"/>
      <c r="O147" s="184"/>
      <c r="P147" s="184"/>
      <c r="Q147" s="184"/>
      <c r="R147" s="184"/>
      <c r="S147" s="184"/>
      <c r="T147" s="184"/>
      <c r="U147" s="190"/>
      <c r="W147" s="2"/>
      <c r="X147"/>
      <c r="Y147"/>
    </row>
    <row r="148" spans="2:25" s="1" customFormat="1" ht="14.7" hidden="1" customHeight="1" outlineLevel="3" x14ac:dyDescent="0.3">
      <c r="B148" s="203" t="s">
        <v>37</v>
      </c>
      <c r="C148" s="569" t="s">
        <v>42</v>
      </c>
      <c r="D148" s="570"/>
      <c r="E148" s="184"/>
      <c r="F148" s="184"/>
      <c r="G148" s="571" t="s">
        <v>43</v>
      </c>
      <c r="H148" s="570"/>
      <c r="I148" s="184"/>
      <c r="J148" s="184"/>
      <c r="K148" s="184"/>
      <c r="L148" s="184"/>
      <c r="M148" s="184"/>
      <c r="N148" s="184"/>
      <c r="O148" s="184"/>
      <c r="P148" s="184"/>
      <c r="Q148" s="184"/>
      <c r="R148" s="184"/>
      <c r="S148" s="184"/>
      <c r="T148" s="184"/>
      <c r="U148" s="190"/>
      <c r="W148" s="2"/>
      <c r="X148"/>
      <c r="Y148"/>
    </row>
    <row r="149" spans="2:25" s="1" customFormat="1" ht="14.7" hidden="1" customHeight="1" outlineLevel="3" x14ac:dyDescent="0.3">
      <c r="B149" s="204" t="s">
        <v>47</v>
      </c>
      <c r="C149" s="569" t="s">
        <v>42</v>
      </c>
      <c r="D149" s="570"/>
      <c r="E149" s="184"/>
      <c r="F149" s="184"/>
      <c r="G149" s="571" t="s">
        <v>43</v>
      </c>
      <c r="H149" s="570"/>
      <c r="I149" s="184"/>
      <c r="J149" s="184"/>
      <c r="K149" s="184"/>
      <c r="L149" s="184"/>
      <c r="M149" s="184"/>
      <c r="N149" s="184"/>
      <c r="O149" s="184"/>
      <c r="P149" s="184"/>
      <c r="Q149" s="184"/>
      <c r="R149" s="184"/>
      <c r="S149" s="184"/>
      <c r="T149" s="184"/>
      <c r="U149" s="190"/>
      <c r="W149" s="2"/>
      <c r="X149"/>
      <c r="Y149"/>
    </row>
    <row r="150" spans="2:25" s="1" customFormat="1" ht="14.7" hidden="1" customHeight="1" outlineLevel="3" x14ac:dyDescent="0.3">
      <c r="B150" s="205" t="s">
        <v>48</v>
      </c>
      <c r="C150" s="569" t="s">
        <v>42</v>
      </c>
      <c r="D150" s="570"/>
      <c r="E150" s="184"/>
      <c r="F150" s="184"/>
      <c r="G150" s="571" t="s">
        <v>43</v>
      </c>
      <c r="H150" s="570"/>
      <c r="I150" s="184"/>
      <c r="J150" s="184"/>
      <c r="K150" s="184"/>
      <c r="L150" s="184"/>
      <c r="M150" s="184"/>
      <c r="N150" s="184"/>
      <c r="O150" s="184"/>
      <c r="P150" s="184"/>
      <c r="Q150" s="184"/>
      <c r="R150" s="184"/>
      <c r="S150" s="184"/>
      <c r="T150" s="184"/>
      <c r="U150" s="190"/>
      <c r="W150" s="2"/>
      <c r="X150"/>
      <c r="Y150"/>
    </row>
    <row r="151" spans="2:25" s="1" customFormat="1" ht="14.7" customHeight="1" outlineLevel="2" collapsed="1" x14ac:dyDescent="0.3">
      <c r="B151" s="200" t="s">
        <v>253</v>
      </c>
      <c r="C151" s="569" t="s">
        <v>42</v>
      </c>
      <c r="D151" s="570"/>
      <c r="E151" s="572">
        <v>0.5</v>
      </c>
      <c r="F151" s="573"/>
      <c r="G151" s="571" t="s">
        <v>43</v>
      </c>
      <c r="H151" s="570"/>
      <c r="I151" s="572">
        <v>0.8</v>
      </c>
      <c r="J151" s="573"/>
      <c r="K151" s="571" t="s">
        <v>49</v>
      </c>
      <c r="L151" s="569"/>
      <c r="M151" s="572">
        <v>0.5</v>
      </c>
      <c r="N151" s="573"/>
      <c r="O151" s="210"/>
      <c r="P151" s="208"/>
      <c r="Q151" s="208"/>
      <c r="R151" s="208"/>
      <c r="S151" s="208"/>
      <c r="T151" s="208"/>
      <c r="U151" s="209"/>
      <c r="W151" s="2"/>
      <c r="X151"/>
      <c r="Y151"/>
    </row>
    <row r="152" spans="2:25" s="1" customFormat="1" ht="14.7" hidden="1" customHeight="1" outlineLevel="3" x14ac:dyDescent="0.3">
      <c r="B152" s="202" t="s">
        <v>34</v>
      </c>
      <c r="C152" s="188"/>
      <c r="D152" s="188"/>
      <c r="E152" s="188"/>
      <c r="F152" s="188"/>
      <c r="G152" s="188"/>
      <c r="H152" s="188"/>
      <c r="I152" s="188"/>
      <c r="J152" s="188"/>
      <c r="K152" s="188"/>
      <c r="L152" s="188"/>
      <c r="M152" s="188"/>
      <c r="N152" s="188"/>
      <c r="O152" s="188"/>
      <c r="P152" s="188"/>
      <c r="Q152" s="188"/>
      <c r="R152" s="188"/>
      <c r="S152" s="188"/>
      <c r="T152" s="188"/>
      <c r="U152" s="194"/>
      <c r="W152" s="2"/>
      <c r="X152"/>
      <c r="Y152"/>
    </row>
    <row r="153" spans="2:25" s="1" customFormat="1" ht="14.7" hidden="1" customHeight="1" outlineLevel="3" x14ac:dyDescent="0.3">
      <c r="B153" s="203" t="s">
        <v>36</v>
      </c>
      <c r="C153" s="188"/>
      <c r="D153" s="188"/>
      <c r="E153" s="188"/>
      <c r="F153" s="188"/>
      <c r="G153" s="188"/>
      <c r="H153" s="188"/>
      <c r="I153" s="188"/>
      <c r="J153" s="188"/>
      <c r="K153" s="188"/>
      <c r="L153" s="188"/>
      <c r="M153" s="188"/>
      <c r="N153" s="188"/>
      <c r="O153" s="188"/>
      <c r="P153" s="188"/>
      <c r="Q153" s="188"/>
      <c r="R153" s="188"/>
      <c r="S153" s="188"/>
      <c r="T153" s="188"/>
      <c r="U153" s="194"/>
      <c r="W153" s="2"/>
      <c r="X153"/>
      <c r="Y153"/>
    </row>
    <row r="154" spans="2:25" s="1" customFormat="1" ht="14.7" hidden="1" customHeight="1" outlineLevel="3" x14ac:dyDescent="0.3">
      <c r="B154" s="203" t="s">
        <v>37</v>
      </c>
      <c r="C154" s="188"/>
      <c r="D154" s="188"/>
      <c r="E154" s="188"/>
      <c r="F154" s="188"/>
      <c r="G154" s="188"/>
      <c r="H154" s="188"/>
      <c r="I154" s="188"/>
      <c r="J154" s="188"/>
      <c r="K154" s="188"/>
      <c r="L154" s="188"/>
      <c r="M154" s="188"/>
      <c r="N154" s="188"/>
      <c r="O154" s="188"/>
      <c r="P154" s="188"/>
      <c r="Q154" s="188"/>
      <c r="R154" s="188"/>
      <c r="S154" s="188"/>
      <c r="T154" s="188"/>
      <c r="U154" s="194"/>
      <c r="W154" s="2"/>
      <c r="X154"/>
      <c r="Y154"/>
    </row>
    <row r="155" spans="2:25" s="1" customFormat="1" ht="14.7" hidden="1" customHeight="1" outlineLevel="3" x14ac:dyDescent="0.3">
      <c r="B155" s="204" t="s">
        <v>47</v>
      </c>
      <c r="C155" s="188"/>
      <c r="D155" s="188"/>
      <c r="E155" s="188"/>
      <c r="F155" s="188"/>
      <c r="G155" s="188"/>
      <c r="H155" s="188"/>
      <c r="I155" s="188"/>
      <c r="J155" s="188"/>
      <c r="K155" s="188"/>
      <c r="L155" s="188"/>
      <c r="M155" s="188"/>
      <c r="N155" s="188"/>
      <c r="O155" s="188"/>
      <c r="P155" s="188"/>
      <c r="Q155" s="188"/>
      <c r="R155" s="188"/>
      <c r="S155" s="188"/>
      <c r="T155" s="188"/>
      <c r="U155" s="194"/>
      <c r="W155" s="2"/>
      <c r="X155"/>
      <c r="Y155"/>
    </row>
    <row r="156" spans="2:25" s="1" customFormat="1" ht="14.7" hidden="1" customHeight="1" outlineLevel="3" x14ac:dyDescent="0.3">
      <c r="B156" s="205" t="s">
        <v>48</v>
      </c>
      <c r="C156" s="188"/>
      <c r="D156" s="188"/>
      <c r="E156" s="188"/>
      <c r="F156" s="188"/>
      <c r="G156" s="188"/>
      <c r="H156" s="188"/>
      <c r="I156" s="188"/>
      <c r="J156" s="188"/>
      <c r="K156" s="188"/>
      <c r="L156" s="188"/>
      <c r="M156" s="188"/>
      <c r="N156" s="188"/>
      <c r="O156" s="188"/>
      <c r="P156" s="188"/>
      <c r="Q156" s="188"/>
      <c r="R156" s="188"/>
      <c r="S156" s="188"/>
      <c r="T156" s="188"/>
      <c r="U156" s="194"/>
      <c r="W156" s="2"/>
      <c r="X156"/>
      <c r="Y156"/>
    </row>
    <row r="157" spans="2:25" s="1" customFormat="1" ht="14.7" customHeight="1" outlineLevel="2" x14ac:dyDescent="0.3">
      <c r="B157" s="211" t="s">
        <v>35</v>
      </c>
      <c r="C157" s="243"/>
      <c r="D157" s="243"/>
      <c r="E157" s="243"/>
      <c r="F157" s="243"/>
      <c r="G157" s="243"/>
      <c r="H157" s="243"/>
      <c r="I157" s="243"/>
      <c r="J157" s="243"/>
      <c r="K157" s="243"/>
      <c r="L157" s="243"/>
      <c r="M157" s="243"/>
      <c r="N157" s="243"/>
      <c r="O157" s="243"/>
      <c r="P157" s="243"/>
      <c r="Q157" s="243"/>
      <c r="R157" s="243"/>
      <c r="S157" s="243"/>
      <c r="T157" s="243"/>
      <c r="U157" s="244"/>
      <c r="W157" s="2"/>
      <c r="X157"/>
      <c r="Y157"/>
    </row>
  </sheetData>
  <sheetProtection algorithmName="SHA-512" hashValue="4/vF8eH7jVpKWQmVtsoQHvWpe4eZ8g/cH4/kbuGydnBGUXoSRMCdYrvymDoI0efaGIMpRSrIukxgjwKXTRX1fQ==" saltValue="mUSGbSeZWZSkLmeqWxppsA==" spinCount="100000" sheet="1" objects="1" scenarios="1"/>
  <mergeCells count="211">
    <mergeCell ref="C139:D139"/>
    <mergeCell ref="E139:F139"/>
    <mergeCell ref="G139:H139"/>
    <mergeCell ref="I139:J139"/>
    <mergeCell ref="K139:L139"/>
    <mergeCell ref="M139:N139"/>
    <mergeCell ref="C129:D129"/>
    <mergeCell ref="E129:F129"/>
    <mergeCell ref="G129:H129"/>
    <mergeCell ref="I129:J129"/>
    <mergeCell ref="K129:L129"/>
    <mergeCell ref="M129:N129"/>
    <mergeCell ref="C151:D151"/>
    <mergeCell ref="E151:F151"/>
    <mergeCell ref="G151:H151"/>
    <mergeCell ref="I151:J151"/>
    <mergeCell ref="K151:L151"/>
    <mergeCell ref="M151:N151"/>
    <mergeCell ref="C145:D145"/>
    <mergeCell ref="E145:F145"/>
    <mergeCell ref="G145:H145"/>
    <mergeCell ref="I145:J145"/>
    <mergeCell ref="K145:L145"/>
    <mergeCell ref="M145:N145"/>
    <mergeCell ref="C123:D123"/>
    <mergeCell ref="E123:F123"/>
    <mergeCell ref="G123:H123"/>
    <mergeCell ref="I123:J123"/>
    <mergeCell ref="K123:L123"/>
    <mergeCell ref="M123:N123"/>
    <mergeCell ref="C117:D117"/>
    <mergeCell ref="E117:F117"/>
    <mergeCell ref="G117:H117"/>
    <mergeCell ref="I117:J117"/>
    <mergeCell ref="K117:L117"/>
    <mergeCell ref="M117:N117"/>
    <mergeCell ref="C121:D121"/>
    <mergeCell ref="C122:D122"/>
    <mergeCell ref="C124:D124"/>
    <mergeCell ref="C125:D125"/>
    <mergeCell ref="C126:D126"/>
    <mergeCell ref="C127:D127"/>
    <mergeCell ref="C128:D128"/>
    <mergeCell ref="G124:H124"/>
    <mergeCell ref="G125:H125"/>
    <mergeCell ref="G126:H126"/>
    <mergeCell ref="G127:H127"/>
    <mergeCell ref="E107:F107"/>
    <mergeCell ref="G107:H107"/>
    <mergeCell ref="I107:J107"/>
    <mergeCell ref="K107:L107"/>
    <mergeCell ref="M107:N107"/>
    <mergeCell ref="C101:D101"/>
    <mergeCell ref="E101:F101"/>
    <mergeCell ref="G101:H101"/>
    <mergeCell ref="I101:J101"/>
    <mergeCell ref="K101:L101"/>
    <mergeCell ref="M101:N101"/>
    <mergeCell ref="G106:H106"/>
    <mergeCell ref="G104:H104"/>
    <mergeCell ref="G105:H105"/>
    <mergeCell ref="E95:F95"/>
    <mergeCell ref="G95:H95"/>
    <mergeCell ref="I95:J95"/>
    <mergeCell ref="K95:L95"/>
    <mergeCell ref="M95:N95"/>
    <mergeCell ref="C85:D85"/>
    <mergeCell ref="E85:F85"/>
    <mergeCell ref="G85:H85"/>
    <mergeCell ref="I85:J85"/>
    <mergeCell ref="K85:L85"/>
    <mergeCell ref="M85:N85"/>
    <mergeCell ref="C79:D79"/>
    <mergeCell ref="E79:F79"/>
    <mergeCell ref="G79:H79"/>
    <mergeCell ref="I79:J79"/>
    <mergeCell ref="K79:L79"/>
    <mergeCell ref="M79:N79"/>
    <mergeCell ref="C73:D73"/>
    <mergeCell ref="E73:F73"/>
    <mergeCell ref="G73:H73"/>
    <mergeCell ref="I73:J73"/>
    <mergeCell ref="K73:L73"/>
    <mergeCell ref="M73:N73"/>
    <mergeCell ref="C74:D74"/>
    <mergeCell ref="C75:D75"/>
    <mergeCell ref="C76:D76"/>
    <mergeCell ref="C77:D77"/>
    <mergeCell ref="C78:D78"/>
    <mergeCell ref="C63:D63"/>
    <mergeCell ref="E63:F63"/>
    <mergeCell ref="G63:H63"/>
    <mergeCell ref="I63:J63"/>
    <mergeCell ref="K63:L63"/>
    <mergeCell ref="M63:N63"/>
    <mergeCell ref="C57:D57"/>
    <mergeCell ref="E57:F57"/>
    <mergeCell ref="G57:H57"/>
    <mergeCell ref="I57:J57"/>
    <mergeCell ref="K57:L57"/>
    <mergeCell ref="M57:N57"/>
    <mergeCell ref="C61:D61"/>
    <mergeCell ref="C62:D62"/>
    <mergeCell ref="G62:H62"/>
    <mergeCell ref="E51:F51"/>
    <mergeCell ref="G51:H51"/>
    <mergeCell ref="I51:J51"/>
    <mergeCell ref="K51:L51"/>
    <mergeCell ref="M51:N51"/>
    <mergeCell ref="C41:D41"/>
    <mergeCell ref="E41:F41"/>
    <mergeCell ref="G41:H41"/>
    <mergeCell ref="I41:J41"/>
    <mergeCell ref="K41:L41"/>
    <mergeCell ref="M41:N41"/>
    <mergeCell ref="C7:D7"/>
    <mergeCell ref="E7:F7"/>
    <mergeCell ref="K7:L7"/>
    <mergeCell ref="M7:N7"/>
    <mergeCell ref="C13:D13"/>
    <mergeCell ref="E13:F13"/>
    <mergeCell ref="K13:L13"/>
    <mergeCell ref="M13:N13"/>
    <mergeCell ref="C35:D35"/>
    <mergeCell ref="E35:F35"/>
    <mergeCell ref="G35:H35"/>
    <mergeCell ref="I35:J35"/>
    <mergeCell ref="K35:L35"/>
    <mergeCell ref="M35:N35"/>
    <mergeCell ref="C19:D19"/>
    <mergeCell ref="E19:F19"/>
    <mergeCell ref="K19:L19"/>
    <mergeCell ref="M19:N19"/>
    <mergeCell ref="C29:D29"/>
    <mergeCell ref="E29:F29"/>
    <mergeCell ref="G29:H29"/>
    <mergeCell ref="I29:J29"/>
    <mergeCell ref="K29:L29"/>
    <mergeCell ref="M29:N29"/>
    <mergeCell ref="C30:D30"/>
    <mergeCell ref="C31:D31"/>
    <mergeCell ref="C32:D32"/>
    <mergeCell ref="C33:D33"/>
    <mergeCell ref="C34:D34"/>
    <mergeCell ref="C36:D36"/>
    <mergeCell ref="C37:D37"/>
    <mergeCell ref="C38:D38"/>
    <mergeCell ref="C39:D39"/>
    <mergeCell ref="C40:D40"/>
    <mergeCell ref="C52:D52"/>
    <mergeCell ref="C53:D53"/>
    <mergeCell ref="C54:D54"/>
    <mergeCell ref="C55:D55"/>
    <mergeCell ref="C56:D56"/>
    <mergeCell ref="C58:D58"/>
    <mergeCell ref="C59:D59"/>
    <mergeCell ref="C60:D60"/>
    <mergeCell ref="C51:D51"/>
    <mergeCell ref="C80:D80"/>
    <mergeCell ref="C81:D81"/>
    <mergeCell ref="C82:D82"/>
    <mergeCell ref="C83:D83"/>
    <mergeCell ref="C84:D84"/>
    <mergeCell ref="C96:D96"/>
    <mergeCell ref="C97:D97"/>
    <mergeCell ref="C98:D98"/>
    <mergeCell ref="C99:D99"/>
    <mergeCell ref="C95:D95"/>
    <mergeCell ref="C100:D100"/>
    <mergeCell ref="C102:D102"/>
    <mergeCell ref="C103:D103"/>
    <mergeCell ref="C104:D104"/>
    <mergeCell ref="C105:D105"/>
    <mergeCell ref="C106:D106"/>
    <mergeCell ref="C118:D118"/>
    <mergeCell ref="C119:D119"/>
    <mergeCell ref="C120:D120"/>
    <mergeCell ref="C107:D107"/>
    <mergeCell ref="G36:H36"/>
    <mergeCell ref="G37:H37"/>
    <mergeCell ref="G38:H38"/>
    <mergeCell ref="G39:H39"/>
    <mergeCell ref="G40:H40"/>
    <mergeCell ref="G58:H58"/>
    <mergeCell ref="G59:H59"/>
    <mergeCell ref="G60:H60"/>
    <mergeCell ref="G61:H61"/>
    <mergeCell ref="B1:M1"/>
    <mergeCell ref="C149:D149"/>
    <mergeCell ref="C150:D150"/>
    <mergeCell ref="G146:H146"/>
    <mergeCell ref="G147:H147"/>
    <mergeCell ref="G148:H148"/>
    <mergeCell ref="G149:H149"/>
    <mergeCell ref="G150:H150"/>
    <mergeCell ref="G128:H128"/>
    <mergeCell ref="C140:D140"/>
    <mergeCell ref="C141:D141"/>
    <mergeCell ref="C142:D142"/>
    <mergeCell ref="C143:D143"/>
    <mergeCell ref="C144:D144"/>
    <mergeCell ref="C146:D146"/>
    <mergeCell ref="C147:D147"/>
    <mergeCell ref="C148:D148"/>
    <mergeCell ref="G80:H80"/>
    <mergeCell ref="G81:H81"/>
    <mergeCell ref="G82:H82"/>
    <mergeCell ref="G83:H83"/>
    <mergeCell ref="G84:H84"/>
    <mergeCell ref="G102:H102"/>
    <mergeCell ref="G103:H103"/>
  </mergeCells>
  <pageMargins left="0.7" right="0.7" top="0.75" bottom="0.75" header="0.3" footer="0.3"/>
  <pageSetup orientation="portrait" r:id="rId1"/>
  <ignoredErrors>
    <ignoredError sqref="M9 E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4E25E-21AF-4E07-BC12-B87B35FBB4D3}">
  <sheetPr codeName="Sheet3">
    <tabColor theme="0" tint="-4.9989318521683403E-2"/>
    <outlinePr summaryBelow="0" summaryRight="0"/>
  </sheetPr>
  <dimension ref="A1:Y61"/>
  <sheetViews>
    <sheetView showGridLines="0" zoomScale="120" zoomScaleNormal="120" workbookViewId="0">
      <selection activeCell="B1" sqref="B1:L1"/>
    </sheetView>
  </sheetViews>
  <sheetFormatPr defaultColWidth="8.6640625" defaultRowHeight="14.4" outlineLevelRow="1" x14ac:dyDescent="0.3"/>
  <cols>
    <col min="1" max="1" width="2.6640625" style="1" customWidth="1"/>
    <col min="2" max="2" width="29" style="1" customWidth="1"/>
    <col min="3" max="21" width="9.44140625" style="1" customWidth="1"/>
    <col min="22" max="22" width="6.6640625" style="1" customWidth="1"/>
    <col min="23" max="23" width="6.6640625" style="2" customWidth="1"/>
  </cols>
  <sheetData>
    <row r="1" spans="2:25" ht="277.2" customHeight="1" x14ac:dyDescent="0.3">
      <c r="B1" s="566" t="s">
        <v>262</v>
      </c>
      <c r="C1" s="576"/>
      <c r="D1" s="576"/>
      <c r="E1" s="576"/>
      <c r="F1" s="576"/>
      <c r="G1" s="576"/>
      <c r="H1" s="576"/>
      <c r="I1" s="576"/>
      <c r="J1" s="576"/>
      <c r="K1" s="576"/>
      <c r="L1" s="577"/>
    </row>
    <row r="3" spans="2:25" s="1" customFormat="1" ht="20.399999999999999" customHeight="1" x14ac:dyDescent="0.3">
      <c r="B3" s="213" t="s">
        <v>53</v>
      </c>
      <c r="C3" s="247" t="s">
        <v>0</v>
      </c>
      <c r="D3" s="247" t="s">
        <v>51</v>
      </c>
      <c r="E3" s="248" t="s">
        <v>3</v>
      </c>
      <c r="F3" s="247" t="s">
        <v>4</v>
      </c>
      <c r="G3" s="248" t="s">
        <v>5</v>
      </c>
      <c r="H3" s="248" t="s">
        <v>6</v>
      </c>
      <c r="I3" s="247" t="s">
        <v>19</v>
      </c>
      <c r="J3" s="248" t="s">
        <v>20</v>
      </c>
      <c r="K3" s="247" t="s">
        <v>21</v>
      </c>
      <c r="L3" s="247" t="s">
        <v>22</v>
      </c>
      <c r="M3" s="247" t="s">
        <v>23</v>
      </c>
      <c r="N3" s="247" t="s">
        <v>24</v>
      </c>
      <c r="O3" s="247" t="s">
        <v>25</v>
      </c>
      <c r="P3" s="247" t="s">
        <v>26</v>
      </c>
      <c r="Q3" s="247" t="s">
        <v>27</v>
      </c>
      <c r="R3" s="248" t="s">
        <v>28</v>
      </c>
      <c r="S3" s="247" t="s">
        <v>29</v>
      </c>
      <c r="T3" s="247" t="s">
        <v>30</v>
      </c>
      <c r="U3" s="249" t="s">
        <v>31</v>
      </c>
      <c r="W3" s="2"/>
      <c r="X3"/>
      <c r="Y3"/>
    </row>
    <row r="4" spans="2:25" s="1" customFormat="1" ht="14.7" customHeight="1" x14ac:dyDescent="0.3">
      <c r="B4" s="199" t="s">
        <v>18</v>
      </c>
      <c r="C4" s="220">
        <f t="shared" ref="C4:U4" si="0">SUM(C7,C10)</f>
        <v>0</v>
      </c>
      <c r="D4" s="220">
        <f t="shared" si="0"/>
        <v>1.25</v>
      </c>
      <c r="E4" s="220">
        <f t="shared" si="0"/>
        <v>2.489583333333333</v>
      </c>
      <c r="F4" s="220">
        <f t="shared" si="0"/>
        <v>3.7032552083333341</v>
      </c>
      <c r="G4" s="220">
        <f t="shared" si="0"/>
        <v>3.6569645182291675</v>
      </c>
      <c r="H4" s="220">
        <f t="shared" si="0"/>
        <v>3.6112524617513024</v>
      </c>
      <c r="I4" s="220">
        <f t="shared" si="0"/>
        <v>7.1322236119588229</v>
      </c>
      <c r="J4" s="220">
        <f t="shared" si="0"/>
        <v>6.9539180216598524</v>
      </c>
      <c r="K4" s="220">
        <f t="shared" si="0"/>
        <v>99.441027709735863</v>
      </c>
      <c r="L4" s="220">
        <f t="shared" si="0"/>
        <v>8.5880887567499169</v>
      </c>
      <c r="M4" s="220">
        <f t="shared" si="0"/>
        <v>8.158684318912421</v>
      </c>
      <c r="N4" s="220">
        <f t="shared" si="0"/>
        <v>7.7507501029667996</v>
      </c>
      <c r="O4" s="220">
        <f t="shared" si="0"/>
        <v>147.26425195636918</v>
      </c>
      <c r="P4" s="220">
        <f t="shared" si="0"/>
        <v>0</v>
      </c>
      <c r="Q4" s="220">
        <f t="shared" si="0"/>
        <v>0</v>
      </c>
      <c r="R4" s="220">
        <f t="shared" si="0"/>
        <v>0</v>
      </c>
      <c r="S4" s="220">
        <f t="shared" si="0"/>
        <v>0</v>
      </c>
      <c r="T4" s="220">
        <f t="shared" si="0"/>
        <v>0</v>
      </c>
      <c r="U4" s="221">
        <f t="shared" si="0"/>
        <v>0</v>
      </c>
      <c r="W4" s="2"/>
      <c r="X4"/>
      <c r="Y4"/>
    </row>
    <row r="5" spans="2:25" s="1" customFormat="1" outlineLevel="1" x14ac:dyDescent="0.3">
      <c r="B5" s="200" t="s">
        <v>57</v>
      </c>
      <c r="C5" s="586" t="s">
        <v>50</v>
      </c>
      <c r="D5" s="586"/>
      <c r="E5" s="587">
        <v>0.05</v>
      </c>
      <c r="F5" s="588"/>
      <c r="G5" s="222"/>
      <c r="H5" s="222"/>
      <c r="I5" s="222"/>
      <c r="J5" s="222"/>
      <c r="K5" s="222"/>
      <c r="L5" s="222"/>
      <c r="M5" s="222"/>
      <c r="N5" s="222"/>
      <c r="O5" s="222"/>
      <c r="P5" s="222"/>
      <c r="Q5" s="222"/>
      <c r="R5" s="222"/>
      <c r="S5" s="222"/>
      <c r="T5" s="222"/>
      <c r="U5" s="223"/>
      <c r="W5" s="2"/>
      <c r="X5"/>
      <c r="Y5"/>
    </row>
    <row r="6" spans="2:25" s="1" customFormat="1" ht="14.7" customHeight="1" outlineLevel="1" x14ac:dyDescent="0.3">
      <c r="B6" s="202" t="s">
        <v>54</v>
      </c>
      <c r="C6" s="225"/>
      <c r="D6" s="225"/>
      <c r="E6" s="225"/>
      <c r="F6" s="225"/>
      <c r="G6" s="225"/>
      <c r="H6" s="225"/>
      <c r="I6" s="225"/>
      <c r="J6" s="225"/>
      <c r="K6" s="225">
        <v>100</v>
      </c>
      <c r="L6" s="225"/>
      <c r="M6" s="225"/>
      <c r="N6" s="225"/>
      <c r="O6" s="225"/>
      <c r="P6" s="225"/>
      <c r="Q6" s="225"/>
      <c r="R6" s="225"/>
      <c r="S6" s="225"/>
      <c r="T6" s="225"/>
      <c r="U6" s="226"/>
      <c r="W6" s="2"/>
      <c r="X6"/>
      <c r="Y6"/>
    </row>
    <row r="7" spans="2:25" s="1" customFormat="1" ht="14.7" customHeight="1" outlineLevel="1" x14ac:dyDescent="0.3">
      <c r="B7" s="203" t="s">
        <v>55</v>
      </c>
      <c r="C7" s="228">
        <v>0</v>
      </c>
      <c r="D7" s="228">
        <f>$E5*1/12*($K6-SUM($C7:C7))</f>
        <v>0.41666666666666669</v>
      </c>
      <c r="E7" s="228">
        <f>$E5*2/12*($K6-SUM($C7:D7))</f>
        <v>0.82986111111111105</v>
      </c>
      <c r="F7" s="228">
        <f>$E5*3/12*($K6-SUM($C7:E7))</f>
        <v>1.234418402777778</v>
      </c>
      <c r="G7" s="228">
        <f>$E5*3/12*($K6-SUM($C7:F7))</f>
        <v>1.2189881727430558</v>
      </c>
      <c r="H7" s="228">
        <f>$E5*3/12*($K6-SUM($C7:G7))</f>
        <v>1.2037508205837675</v>
      </c>
      <c r="I7" s="228">
        <f>$E5*6/12*($K6-SUM($C7:H7))</f>
        <v>2.3774078706529411</v>
      </c>
      <c r="J7" s="228">
        <f>$E5*6/12*($K6-SUM($C7:I7))</f>
        <v>2.3179726738866173</v>
      </c>
      <c r="K7" s="228">
        <f>K6-SUM(C7:J7)</f>
        <v>90.40093428157806</v>
      </c>
      <c r="L7" s="228"/>
      <c r="M7" s="228"/>
      <c r="N7" s="228"/>
      <c r="O7" s="228"/>
      <c r="P7" s="228"/>
      <c r="Q7" s="228"/>
      <c r="R7" s="228"/>
      <c r="S7" s="228"/>
      <c r="T7" s="228"/>
      <c r="U7" s="229"/>
      <c r="W7" s="2"/>
      <c r="X7"/>
      <c r="Y7"/>
    </row>
    <row r="8" spans="2:25" s="1" customFormat="1" outlineLevel="1" x14ac:dyDescent="0.3">
      <c r="B8" s="200" t="s">
        <v>58</v>
      </c>
      <c r="C8" s="578" t="s">
        <v>50</v>
      </c>
      <c r="D8" s="578"/>
      <c r="E8" s="579">
        <v>0.05</v>
      </c>
      <c r="F8" s="580"/>
      <c r="G8" s="231"/>
      <c r="H8" s="232"/>
      <c r="I8" s="232"/>
      <c r="J8" s="232"/>
      <c r="K8" s="232"/>
      <c r="L8" s="232"/>
      <c r="M8" s="232"/>
      <c r="N8" s="232"/>
      <c r="O8" s="232"/>
      <c r="P8" s="232"/>
      <c r="Q8" s="232"/>
      <c r="R8" s="232"/>
      <c r="S8" s="232"/>
      <c r="T8" s="232"/>
      <c r="U8" s="233"/>
      <c r="W8" s="2"/>
      <c r="X8"/>
      <c r="Y8"/>
    </row>
    <row r="9" spans="2:25" s="1" customFormat="1" ht="14.7" customHeight="1" outlineLevel="1" x14ac:dyDescent="0.3">
      <c r="B9" s="202" t="s">
        <v>54</v>
      </c>
      <c r="C9" s="225"/>
      <c r="D9" s="225"/>
      <c r="E9" s="225"/>
      <c r="F9" s="225"/>
      <c r="G9" s="215"/>
      <c r="H9" s="215"/>
      <c r="I9" s="215"/>
      <c r="J9" s="215"/>
      <c r="K9" s="215"/>
      <c r="L9" s="215"/>
      <c r="M9" s="215"/>
      <c r="N9" s="215"/>
      <c r="O9" s="215">
        <v>200</v>
      </c>
      <c r="P9" s="215"/>
      <c r="Q9" s="215"/>
      <c r="R9" s="215"/>
      <c r="S9" s="215"/>
      <c r="T9" s="215"/>
      <c r="U9" s="216"/>
      <c r="W9" s="2"/>
      <c r="X9"/>
      <c r="Y9"/>
    </row>
    <row r="10" spans="2:25" s="1" customFormat="1" ht="14.7" customHeight="1" outlineLevel="1" x14ac:dyDescent="0.3">
      <c r="B10" s="203" t="s">
        <v>55</v>
      </c>
      <c r="C10" s="228">
        <v>0</v>
      </c>
      <c r="D10" s="228">
        <f>$E8*1/12*($O9-SUM($C10:C10))</f>
        <v>0.83333333333333337</v>
      </c>
      <c r="E10" s="228">
        <f>$E8*2/12*($O9-SUM($C10:D10))</f>
        <v>1.6597222222222221</v>
      </c>
      <c r="F10" s="228">
        <f>$E8*3/12*($O9-SUM($C10:E10))</f>
        <v>2.4688368055555561</v>
      </c>
      <c r="G10" s="228">
        <f>$E8*3/12*($O9-SUM($C10:F10))</f>
        <v>2.4379763454861116</v>
      </c>
      <c r="H10" s="228">
        <f>$E8*3/12*($O9-SUM($C10:G10))</f>
        <v>2.407501641167535</v>
      </c>
      <c r="I10" s="228">
        <f>$E8*6/12*($O9-SUM($C10:H10))</f>
        <v>4.7548157413058822</v>
      </c>
      <c r="J10" s="228">
        <f>$E8*6/12*($O9-SUM($C10:I10))</f>
        <v>4.6359453477732346</v>
      </c>
      <c r="K10" s="228">
        <f>$E8*1*($O9-SUM($C10:J10))</f>
        <v>9.0400934281578067</v>
      </c>
      <c r="L10" s="228">
        <f>$E8*1*($O9-SUM($C10:K10))</f>
        <v>8.5880887567499169</v>
      </c>
      <c r="M10" s="228">
        <f>$E8*1*($O9-SUM($C10:L10))</f>
        <v>8.158684318912421</v>
      </c>
      <c r="N10" s="228">
        <f>$E8*1*($O9-SUM($C10:M10))</f>
        <v>7.7507501029667996</v>
      </c>
      <c r="O10" s="228">
        <f>O9-SUM(C10:N10)</f>
        <v>147.26425195636918</v>
      </c>
      <c r="P10" s="228"/>
      <c r="Q10" s="228"/>
      <c r="R10" s="228"/>
      <c r="S10" s="228"/>
      <c r="T10" s="228"/>
      <c r="U10" s="229"/>
      <c r="W10" s="2"/>
      <c r="X10"/>
      <c r="Y10"/>
    </row>
    <row r="11" spans="2:25" s="1" customFormat="1" ht="14.7" customHeight="1" outlineLevel="1" x14ac:dyDescent="0.3">
      <c r="B11" s="200" t="s">
        <v>254</v>
      </c>
      <c r="C11" s="232"/>
      <c r="D11" s="222"/>
      <c r="E11" s="222"/>
      <c r="F11" s="222"/>
      <c r="G11" s="222"/>
      <c r="H11" s="222"/>
      <c r="I11" s="222"/>
      <c r="J11" s="222"/>
      <c r="K11" s="222"/>
      <c r="L11" s="222"/>
      <c r="M11" s="222"/>
      <c r="N11" s="222"/>
      <c r="O11" s="222"/>
      <c r="P11" s="222"/>
      <c r="Q11" s="222"/>
      <c r="R11" s="222"/>
      <c r="S11" s="222"/>
      <c r="T11" s="222"/>
      <c r="U11" s="223"/>
      <c r="W11" s="2"/>
      <c r="X11"/>
      <c r="Y11"/>
    </row>
    <row r="12" spans="2:25" s="1" customFormat="1" ht="14.7" customHeight="1" x14ac:dyDescent="0.3">
      <c r="B12" s="250" t="s">
        <v>40</v>
      </c>
      <c r="C12" s="220">
        <f t="shared" ref="C12:U12" si="1">SUM(C15,C18)</f>
        <v>0</v>
      </c>
      <c r="D12" s="220">
        <f t="shared" si="1"/>
        <v>1</v>
      </c>
      <c r="E12" s="220">
        <f t="shared" si="1"/>
        <v>1.9933333333333338</v>
      </c>
      <c r="F12" s="220">
        <f t="shared" si="1"/>
        <v>2.9700666666666669</v>
      </c>
      <c r="G12" s="220">
        <f t="shared" si="1"/>
        <v>2.9403660000000005</v>
      </c>
      <c r="H12" s="220">
        <f t="shared" si="1"/>
        <v>2.9109623400000006</v>
      </c>
      <c r="I12" s="220">
        <f t="shared" si="1"/>
        <v>5.7637054332000011</v>
      </c>
      <c r="J12" s="220">
        <f t="shared" si="1"/>
        <v>5.6484313245360012</v>
      </c>
      <c r="K12" s="220">
        <f t="shared" si="1"/>
        <v>99.638328564815041</v>
      </c>
      <c r="L12" s="220">
        <f t="shared" si="1"/>
        <v>7.0853922534979601</v>
      </c>
      <c r="M12" s="220">
        <f t="shared" si="1"/>
        <v>6.8019765633580418</v>
      </c>
      <c r="N12" s="220">
        <f t="shared" si="1"/>
        <v>6.5298975008237186</v>
      </c>
      <c r="O12" s="220">
        <f t="shared" si="1"/>
        <v>156.71754001976922</v>
      </c>
      <c r="P12" s="220">
        <f t="shared" si="1"/>
        <v>0</v>
      </c>
      <c r="Q12" s="220">
        <f t="shared" si="1"/>
        <v>0</v>
      </c>
      <c r="R12" s="220">
        <f t="shared" si="1"/>
        <v>0</v>
      </c>
      <c r="S12" s="220">
        <f t="shared" si="1"/>
        <v>0</v>
      </c>
      <c r="T12" s="220">
        <f t="shared" si="1"/>
        <v>0</v>
      </c>
      <c r="U12" s="221">
        <f t="shared" si="1"/>
        <v>0</v>
      </c>
      <c r="W12" s="2"/>
      <c r="X12"/>
      <c r="Y12"/>
    </row>
    <row r="13" spans="2:25" s="1" customFormat="1" ht="14.7" customHeight="1" outlineLevel="1" x14ac:dyDescent="0.3">
      <c r="B13" s="200" t="s">
        <v>57</v>
      </c>
      <c r="C13" s="582" t="s">
        <v>50</v>
      </c>
      <c r="D13" s="582"/>
      <c r="E13" s="583">
        <f>E$5*I13</f>
        <v>4.0000000000000008E-2</v>
      </c>
      <c r="F13" s="584"/>
      <c r="G13" s="585" t="s">
        <v>43</v>
      </c>
      <c r="H13" s="582"/>
      <c r="I13" s="583">
        <v>0.8</v>
      </c>
      <c r="J13" s="584"/>
      <c r="K13" s="231"/>
      <c r="L13" s="232"/>
      <c r="M13" s="232"/>
      <c r="N13" s="232"/>
      <c r="O13" s="232"/>
      <c r="P13" s="232"/>
      <c r="Q13" s="232"/>
      <c r="R13" s="232"/>
      <c r="S13" s="232"/>
      <c r="T13" s="232"/>
      <c r="U13" s="233"/>
      <c r="W13" s="2"/>
      <c r="X13"/>
      <c r="Y13"/>
    </row>
    <row r="14" spans="2:25" s="1" customFormat="1" ht="14.7" customHeight="1" outlineLevel="1" x14ac:dyDescent="0.3">
      <c r="B14" s="202" t="s">
        <v>54</v>
      </c>
      <c r="C14" s="215"/>
      <c r="D14" s="215"/>
      <c r="E14" s="215"/>
      <c r="F14" s="215"/>
      <c r="G14" s="215"/>
      <c r="H14" s="215"/>
      <c r="I14" s="215"/>
      <c r="J14" s="215"/>
      <c r="K14" s="215">
        <v>100</v>
      </c>
      <c r="L14" s="215"/>
      <c r="M14" s="215"/>
      <c r="N14" s="215"/>
      <c r="O14" s="215"/>
      <c r="P14" s="215"/>
      <c r="Q14" s="215"/>
      <c r="R14" s="215"/>
      <c r="S14" s="215"/>
      <c r="T14" s="215"/>
      <c r="U14" s="216"/>
      <c r="W14" s="2"/>
      <c r="X14"/>
      <c r="Y14"/>
    </row>
    <row r="15" spans="2:25" s="1" customFormat="1" ht="14.7" customHeight="1" outlineLevel="1" x14ac:dyDescent="0.3">
      <c r="B15" s="203" t="s">
        <v>56</v>
      </c>
      <c r="C15" s="214">
        <v>0</v>
      </c>
      <c r="D15" s="214">
        <f>$E13*1/12*($K14-SUM($C15:C15))</f>
        <v>0.33333333333333337</v>
      </c>
      <c r="E15" s="214">
        <f>$E13*2/12*($K14-SUM($C15:D15))</f>
        <v>0.66444444444444462</v>
      </c>
      <c r="F15" s="214">
        <f>$E13*3/12*($K14-SUM($C15:E15))</f>
        <v>0.99002222222222236</v>
      </c>
      <c r="G15" s="214">
        <f>$E13*3/12*($K14-SUM($C15:F15))</f>
        <v>0.98012200000000016</v>
      </c>
      <c r="H15" s="214">
        <f>$E13*3/12*($K14-SUM($C15:G15))</f>
        <v>0.97032078000000022</v>
      </c>
      <c r="I15" s="214">
        <f>$E13*6/12*($K14-SUM($C15:H15))</f>
        <v>1.9212351444000004</v>
      </c>
      <c r="J15" s="214">
        <f>$E13*6/12*($K14-SUM($C15:I15))</f>
        <v>1.8828104415120004</v>
      </c>
      <c r="K15" s="214">
        <f>K14-SUM(C15:J15)</f>
        <v>92.257711634087997</v>
      </c>
      <c r="L15" s="215"/>
      <c r="M15" s="215"/>
      <c r="N15" s="215"/>
      <c r="O15" s="215"/>
      <c r="P15" s="215"/>
      <c r="Q15" s="215"/>
      <c r="R15" s="215"/>
      <c r="S15" s="215"/>
      <c r="T15" s="215"/>
      <c r="U15" s="216"/>
      <c r="W15" s="2"/>
      <c r="X15"/>
      <c r="Y15"/>
    </row>
    <row r="16" spans="2:25" s="1" customFormat="1" ht="14.7" customHeight="1" outlineLevel="1" x14ac:dyDescent="0.3">
      <c r="B16" s="200" t="s">
        <v>58</v>
      </c>
      <c r="C16" s="582" t="s">
        <v>50</v>
      </c>
      <c r="D16" s="582"/>
      <c r="E16" s="583">
        <f>E$8*I16</f>
        <v>4.0000000000000008E-2</v>
      </c>
      <c r="F16" s="584"/>
      <c r="G16" s="585" t="s">
        <v>43</v>
      </c>
      <c r="H16" s="582"/>
      <c r="I16" s="583">
        <v>0.8</v>
      </c>
      <c r="J16" s="584"/>
      <c r="K16" s="231"/>
      <c r="L16" s="232"/>
      <c r="M16" s="232"/>
      <c r="N16" s="232"/>
      <c r="O16" s="232"/>
      <c r="P16" s="232"/>
      <c r="Q16" s="232"/>
      <c r="R16" s="232"/>
      <c r="S16" s="232"/>
      <c r="T16" s="232"/>
      <c r="U16" s="233"/>
      <c r="W16" s="2"/>
      <c r="X16"/>
      <c r="Y16"/>
    </row>
    <row r="17" spans="2:25" s="1" customFormat="1" ht="14.7" customHeight="1" outlineLevel="1" x14ac:dyDescent="0.3">
      <c r="B17" s="202" t="s">
        <v>54</v>
      </c>
      <c r="C17" s="225"/>
      <c r="D17" s="225"/>
      <c r="E17" s="225"/>
      <c r="F17" s="225"/>
      <c r="G17" s="225"/>
      <c r="H17" s="225"/>
      <c r="I17" s="225"/>
      <c r="J17" s="225"/>
      <c r="K17" s="225"/>
      <c r="L17" s="225"/>
      <c r="M17" s="225"/>
      <c r="N17" s="225"/>
      <c r="O17" s="225">
        <v>200</v>
      </c>
      <c r="P17" s="225"/>
      <c r="Q17" s="225"/>
      <c r="R17" s="225"/>
      <c r="S17" s="225"/>
      <c r="T17" s="225"/>
      <c r="U17" s="226"/>
      <c r="W17" s="2"/>
      <c r="X17"/>
      <c r="Y17"/>
    </row>
    <row r="18" spans="2:25" s="1" customFormat="1" ht="14.7" customHeight="1" outlineLevel="1" x14ac:dyDescent="0.3">
      <c r="B18" s="203" t="s">
        <v>56</v>
      </c>
      <c r="C18" s="228">
        <v>0</v>
      </c>
      <c r="D18" s="228">
        <f>$E16*1/12*($O17-SUM($C18:C18))</f>
        <v>0.66666666666666674</v>
      </c>
      <c r="E18" s="228">
        <f>$E16*2/12*($O17-SUM($C18:D18))</f>
        <v>1.3288888888888892</v>
      </c>
      <c r="F18" s="228">
        <f>$E16*3/12*($O17-SUM($C18:E18))</f>
        <v>1.9800444444444447</v>
      </c>
      <c r="G18" s="228">
        <f>$E16*3/12*($O17-SUM($C18:F18))</f>
        <v>1.9602440000000003</v>
      </c>
      <c r="H18" s="228">
        <f>$E16*3/12*($O17-SUM($C18:G18))</f>
        <v>1.9406415600000004</v>
      </c>
      <c r="I18" s="228">
        <f>$E16*6/12*($O17-SUM($C18:H18))</f>
        <v>3.8424702888000009</v>
      </c>
      <c r="J18" s="228">
        <f>$E16*6/12*($O17-SUM($C18:I18))</f>
        <v>3.7656208830240008</v>
      </c>
      <c r="K18" s="228">
        <f>$E16*1*($O17-SUM($C18:J18))</f>
        <v>7.3806169307270411</v>
      </c>
      <c r="L18" s="228">
        <f>$E16*1*($O17-SUM($C18:K18))</f>
        <v>7.0853922534979601</v>
      </c>
      <c r="M18" s="228">
        <f>$E16*1*($O17-SUM($C18:L18))</f>
        <v>6.8019765633580418</v>
      </c>
      <c r="N18" s="228">
        <f>$E16*1*($O17-SUM($C18:M18))</f>
        <v>6.5298975008237186</v>
      </c>
      <c r="O18" s="228">
        <f>O17-SUM(C18:N18)</f>
        <v>156.71754001976922</v>
      </c>
      <c r="P18" s="228"/>
      <c r="Q18" s="228"/>
      <c r="R18" s="228"/>
      <c r="S18" s="228"/>
      <c r="T18" s="228"/>
      <c r="U18" s="229"/>
      <c r="W18" s="2"/>
      <c r="X18"/>
      <c r="Y18"/>
    </row>
    <row r="19" spans="2:25" s="1" customFormat="1" ht="14.7" customHeight="1" outlineLevel="1" x14ac:dyDescent="0.3">
      <c r="B19" s="200" t="s">
        <v>254</v>
      </c>
      <c r="C19" s="246"/>
      <c r="D19" s="222"/>
      <c r="E19" s="222"/>
      <c r="F19" s="222"/>
      <c r="G19" s="222"/>
      <c r="H19" s="222"/>
      <c r="I19" s="222"/>
      <c r="J19" s="222"/>
      <c r="K19" s="222"/>
      <c r="L19" s="222"/>
      <c r="M19" s="222"/>
      <c r="N19" s="222"/>
      <c r="O19" s="222"/>
      <c r="P19" s="222"/>
      <c r="Q19" s="222"/>
      <c r="R19" s="222"/>
      <c r="S19" s="222"/>
      <c r="T19" s="222"/>
      <c r="U19" s="223"/>
      <c r="W19" s="2"/>
      <c r="X19"/>
      <c r="Y19"/>
    </row>
    <row r="20" spans="2:25" s="1" customFormat="1" ht="14.7" customHeight="1" x14ac:dyDescent="0.3">
      <c r="B20" s="250" t="s">
        <v>41</v>
      </c>
      <c r="C20" s="220">
        <f t="shared" ref="C20:U20" si="2">SUM(C23,C26)</f>
        <v>0</v>
      </c>
      <c r="D20" s="220">
        <f t="shared" si="2"/>
        <v>1.5</v>
      </c>
      <c r="E20" s="220">
        <f t="shared" si="2"/>
        <v>2.9849999999999999</v>
      </c>
      <c r="F20" s="220">
        <f t="shared" si="2"/>
        <v>4.4327249999999996</v>
      </c>
      <c r="G20" s="220">
        <f t="shared" si="2"/>
        <v>4.3662341250000001</v>
      </c>
      <c r="H20" s="220">
        <f t="shared" si="2"/>
        <v>4.3007406131249999</v>
      </c>
      <c r="I20" s="220">
        <f t="shared" si="2"/>
        <v>8.4724590078562496</v>
      </c>
      <c r="J20" s="220">
        <f t="shared" si="2"/>
        <v>8.2182852376205631</v>
      </c>
      <c r="K20" s="220">
        <f t="shared" si="2"/>
        <v>99.203834246121986</v>
      </c>
      <c r="L20" s="220">
        <f t="shared" si="2"/>
        <v>9.9912433062165711</v>
      </c>
      <c r="M20" s="220">
        <f t="shared" si="2"/>
        <v>9.3917687078435765</v>
      </c>
      <c r="N20" s="220">
        <f t="shared" si="2"/>
        <v>8.828262585372963</v>
      </c>
      <c r="O20" s="220">
        <f t="shared" si="2"/>
        <v>138.3094471708431</v>
      </c>
      <c r="P20" s="220">
        <f t="shared" si="2"/>
        <v>0</v>
      </c>
      <c r="Q20" s="220">
        <f t="shared" si="2"/>
        <v>0</v>
      </c>
      <c r="R20" s="220">
        <f t="shared" si="2"/>
        <v>0</v>
      </c>
      <c r="S20" s="220">
        <f t="shared" si="2"/>
        <v>0</v>
      </c>
      <c r="T20" s="220">
        <f t="shared" si="2"/>
        <v>0</v>
      </c>
      <c r="U20" s="221">
        <f t="shared" si="2"/>
        <v>0</v>
      </c>
      <c r="W20" s="2"/>
      <c r="X20"/>
      <c r="Y20"/>
    </row>
    <row r="21" spans="2:25" s="1" customFormat="1" outlineLevel="1" x14ac:dyDescent="0.3">
      <c r="B21" s="200" t="s">
        <v>57</v>
      </c>
      <c r="C21" s="578" t="s">
        <v>50</v>
      </c>
      <c r="D21" s="578"/>
      <c r="E21" s="579">
        <f>E$5*I21</f>
        <v>0.06</v>
      </c>
      <c r="F21" s="580"/>
      <c r="G21" s="581" t="s">
        <v>43</v>
      </c>
      <c r="H21" s="578"/>
      <c r="I21" s="579">
        <v>1.2</v>
      </c>
      <c r="J21" s="580"/>
      <c r="K21" s="234"/>
      <c r="L21" s="217"/>
      <c r="M21" s="217"/>
      <c r="N21" s="217"/>
      <c r="O21" s="217"/>
      <c r="P21" s="217"/>
      <c r="Q21" s="217"/>
      <c r="R21" s="217"/>
      <c r="S21" s="217"/>
      <c r="T21" s="217"/>
      <c r="U21" s="218"/>
      <c r="W21" s="2"/>
      <c r="X21"/>
      <c r="Y21"/>
    </row>
    <row r="22" spans="2:25" s="1" customFormat="1" outlineLevel="1" x14ac:dyDescent="0.3">
      <c r="B22" s="202" t="s">
        <v>54</v>
      </c>
      <c r="C22" s="225"/>
      <c r="D22" s="225"/>
      <c r="E22" s="225"/>
      <c r="F22" s="225"/>
      <c r="G22" s="225"/>
      <c r="H22" s="225"/>
      <c r="I22" s="225"/>
      <c r="J22" s="225"/>
      <c r="K22" s="225">
        <v>100</v>
      </c>
      <c r="L22" s="225"/>
      <c r="M22" s="225"/>
      <c r="N22" s="225"/>
      <c r="O22" s="225"/>
      <c r="P22" s="225"/>
      <c r="Q22" s="225"/>
      <c r="R22" s="225"/>
      <c r="S22" s="225"/>
      <c r="T22" s="225"/>
      <c r="U22" s="226"/>
      <c r="W22" s="2"/>
      <c r="X22"/>
      <c r="Y22"/>
    </row>
    <row r="23" spans="2:25" s="1" customFormat="1" outlineLevel="1" x14ac:dyDescent="0.3">
      <c r="B23" s="203" t="s">
        <v>56</v>
      </c>
      <c r="C23" s="228">
        <v>0</v>
      </c>
      <c r="D23" s="228">
        <f>$E21*1/12*($K22-SUM($C23:C23))</f>
        <v>0.5</v>
      </c>
      <c r="E23" s="228">
        <f>$E21*2/12*($K22-SUM($C23:D23))</f>
        <v>0.995</v>
      </c>
      <c r="F23" s="228">
        <f>$E21*3/12*($K22-SUM($C23:E23))</f>
        <v>1.4775749999999999</v>
      </c>
      <c r="G23" s="228">
        <f>$E21*3/12*($K22-SUM($C23:F23))</f>
        <v>1.455411375</v>
      </c>
      <c r="H23" s="228">
        <f>$E21*3/12*($K22-SUM($C23:G23))</f>
        <v>1.4335802043749999</v>
      </c>
      <c r="I23" s="228">
        <f>$E21*6/12*($K22-SUM($C23:H23))</f>
        <v>2.82415300261875</v>
      </c>
      <c r="J23" s="228">
        <f>$E21*6/12*($K22-SUM($C23:I23))</f>
        <v>2.7394284125401875</v>
      </c>
      <c r="K23" s="228">
        <f>K22-SUM(C23:J23)</f>
        <v>88.574852005466056</v>
      </c>
      <c r="L23" s="228"/>
      <c r="M23" s="228"/>
      <c r="N23" s="228"/>
      <c r="O23" s="228"/>
      <c r="P23" s="228"/>
      <c r="Q23" s="228"/>
      <c r="R23" s="228"/>
      <c r="S23" s="228"/>
      <c r="T23" s="228"/>
      <c r="U23" s="229"/>
      <c r="W23" s="2"/>
      <c r="X23"/>
      <c r="Y23"/>
    </row>
    <row r="24" spans="2:25" s="1" customFormat="1" outlineLevel="1" x14ac:dyDescent="0.3">
      <c r="B24" s="200" t="s">
        <v>58</v>
      </c>
      <c r="C24" s="582" t="s">
        <v>50</v>
      </c>
      <c r="D24" s="582"/>
      <c r="E24" s="583">
        <f>E$8*I24</f>
        <v>0.06</v>
      </c>
      <c r="F24" s="584"/>
      <c r="G24" s="585" t="s">
        <v>43</v>
      </c>
      <c r="H24" s="582"/>
      <c r="I24" s="583">
        <v>1.2</v>
      </c>
      <c r="J24" s="584"/>
      <c r="K24" s="231"/>
      <c r="L24" s="232"/>
      <c r="M24" s="232"/>
      <c r="N24" s="232"/>
      <c r="O24" s="232"/>
      <c r="P24" s="232"/>
      <c r="Q24" s="232"/>
      <c r="R24" s="232"/>
      <c r="S24" s="232"/>
      <c r="T24" s="232"/>
      <c r="U24" s="233"/>
      <c r="W24" s="2"/>
      <c r="X24"/>
      <c r="Y24"/>
    </row>
    <row r="25" spans="2:25" s="1" customFormat="1" outlineLevel="1" x14ac:dyDescent="0.3">
      <c r="B25" s="202" t="s">
        <v>54</v>
      </c>
      <c r="C25" s="225"/>
      <c r="D25" s="225"/>
      <c r="E25" s="225"/>
      <c r="F25" s="225"/>
      <c r="G25" s="225"/>
      <c r="H25" s="225"/>
      <c r="I25" s="225"/>
      <c r="J25" s="225"/>
      <c r="K25" s="225"/>
      <c r="L25" s="225"/>
      <c r="M25" s="225"/>
      <c r="N25" s="225"/>
      <c r="O25" s="225">
        <v>200</v>
      </c>
      <c r="P25" s="225"/>
      <c r="Q25" s="225"/>
      <c r="R25" s="225"/>
      <c r="S25" s="225"/>
      <c r="T25" s="225"/>
      <c r="U25" s="226"/>
      <c r="W25" s="2"/>
      <c r="X25"/>
      <c r="Y25"/>
    </row>
    <row r="26" spans="2:25" s="1" customFormat="1" outlineLevel="1" x14ac:dyDescent="0.3">
      <c r="B26" s="203" t="s">
        <v>56</v>
      </c>
      <c r="C26" s="228">
        <v>0</v>
      </c>
      <c r="D26" s="228">
        <f>$E24*1/12*($O25-SUM($C26:C26))</f>
        <v>1</v>
      </c>
      <c r="E26" s="228">
        <f>$E24*2/12*($O25-SUM($C26:D26))</f>
        <v>1.99</v>
      </c>
      <c r="F26" s="228">
        <f>$E24*3/12*($O25-SUM($C26:E26))</f>
        <v>2.9551499999999997</v>
      </c>
      <c r="G26" s="228">
        <f>$E24*3/12*($O25-SUM($C26:F26))</f>
        <v>2.9108227499999999</v>
      </c>
      <c r="H26" s="228">
        <f>$E24*3/12*($O25-SUM($C26:G26))</f>
        <v>2.8671604087499998</v>
      </c>
      <c r="I26" s="228">
        <f>$E24*6/12*($O25-SUM($C26:H26))</f>
        <v>5.6483060052375</v>
      </c>
      <c r="J26" s="228">
        <f>$E24*6/12*($O25-SUM($C26:I26))</f>
        <v>5.4788568250803751</v>
      </c>
      <c r="K26" s="228">
        <f>$E24*1*($O25-SUM($C26:J26))</f>
        <v>10.628982240655926</v>
      </c>
      <c r="L26" s="228">
        <f>$E24*1*($O25-SUM($C26:K26))</f>
        <v>9.9912433062165711</v>
      </c>
      <c r="M26" s="228">
        <f>$E24*1*($O25-SUM($C26:L26))</f>
        <v>9.3917687078435765</v>
      </c>
      <c r="N26" s="228">
        <f>$E24*1*($O25-SUM($C26:M26))</f>
        <v>8.828262585372963</v>
      </c>
      <c r="O26" s="228">
        <f>O25-SUM(C26:N26)</f>
        <v>138.3094471708431</v>
      </c>
      <c r="P26" s="228"/>
      <c r="Q26" s="228"/>
      <c r="R26" s="228"/>
      <c r="S26" s="228"/>
      <c r="T26" s="228"/>
      <c r="U26" s="229"/>
      <c r="W26" s="2"/>
      <c r="X26"/>
      <c r="Y26"/>
    </row>
    <row r="27" spans="2:25" s="1" customFormat="1" ht="15.6" customHeight="1" outlineLevel="1" x14ac:dyDescent="0.3">
      <c r="B27" s="200" t="s">
        <v>254</v>
      </c>
      <c r="C27" s="222"/>
      <c r="D27" s="222"/>
      <c r="E27" s="222"/>
      <c r="F27" s="222"/>
      <c r="G27" s="222"/>
      <c r="H27" s="222"/>
      <c r="I27" s="222"/>
      <c r="J27" s="222"/>
      <c r="K27" s="222"/>
      <c r="L27" s="222"/>
      <c r="M27" s="222"/>
      <c r="N27" s="222"/>
      <c r="O27" s="222"/>
      <c r="P27" s="222"/>
      <c r="Q27" s="222"/>
      <c r="R27" s="222"/>
      <c r="S27" s="222"/>
      <c r="T27" s="222"/>
      <c r="U27" s="223"/>
      <c r="W27" s="2"/>
      <c r="X27"/>
      <c r="Y27"/>
    </row>
    <row r="28" spans="2:25" s="1" customFormat="1" ht="14.7" customHeight="1" x14ac:dyDescent="0.3">
      <c r="B28" s="250" t="s">
        <v>38</v>
      </c>
      <c r="C28" s="220">
        <f t="shared" ref="C28:U28" si="3">SUM(C31,C34)</f>
        <v>0</v>
      </c>
      <c r="D28" s="220">
        <f t="shared" si="3"/>
        <v>1</v>
      </c>
      <c r="E28" s="220">
        <f t="shared" si="3"/>
        <v>1.9933333333333338</v>
      </c>
      <c r="F28" s="220">
        <f t="shared" si="3"/>
        <v>2.9700666666666669</v>
      </c>
      <c r="G28" s="220">
        <f t="shared" si="3"/>
        <v>2.9403660000000005</v>
      </c>
      <c r="H28" s="220">
        <f t="shared" si="3"/>
        <v>2.9109623400000006</v>
      </c>
      <c r="I28" s="220">
        <f t="shared" si="3"/>
        <v>5.7637054332000011</v>
      </c>
      <c r="J28" s="220">
        <f t="shared" si="3"/>
        <v>5.6484313245360012</v>
      </c>
      <c r="K28" s="220">
        <f t="shared" si="3"/>
        <v>99.638328564815041</v>
      </c>
      <c r="L28" s="220">
        <f t="shared" si="3"/>
        <v>7.0853922534979601</v>
      </c>
      <c r="M28" s="220">
        <f t="shared" si="3"/>
        <v>6.8019765633580418</v>
      </c>
      <c r="N28" s="220">
        <f t="shared" si="3"/>
        <v>6.5298975008237186</v>
      </c>
      <c r="O28" s="220">
        <f t="shared" si="3"/>
        <v>156.71754001976922</v>
      </c>
      <c r="P28" s="220">
        <f t="shared" si="3"/>
        <v>0</v>
      </c>
      <c r="Q28" s="220">
        <f t="shared" si="3"/>
        <v>0</v>
      </c>
      <c r="R28" s="220">
        <f t="shared" si="3"/>
        <v>0</v>
      </c>
      <c r="S28" s="220">
        <f t="shared" si="3"/>
        <v>0</v>
      </c>
      <c r="T28" s="220">
        <f t="shared" si="3"/>
        <v>0</v>
      </c>
      <c r="U28" s="221">
        <f t="shared" si="3"/>
        <v>0</v>
      </c>
      <c r="W28" s="2"/>
      <c r="X28"/>
      <c r="Y28"/>
    </row>
    <row r="29" spans="2:25" s="1" customFormat="1" outlineLevel="1" x14ac:dyDescent="0.3">
      <c r="B29" s="200" t="s">
        <v>57</v>
      </c>
      <c r="C29" s="582" t="s">
        <v>50</v>
      </c>
      <c r="D29" s="582"/>
      <c r="E29" s="583">
        <f>E$5*I29</f>
        <v>4.0000000000000008E-2</v>
      </c>
      <c r="F29" s="584"/>
      <c r="G29" s="585" t="s">
        <v>43</v>
      </c>
      <c r="H29" s="582"/>
      <c r="I29" s="583">
        <v>0.8</v>
      </c>
      <c r="J29" s="584"/>
      <c r="K29" s="231"/>
      <c r="L29" s="232"/>
      <c r="M29" s="232"/>
      <c r="N29" s="232"/>
      <c r="O29" s="232"/>
      <c r="P29" s="232"/>
      <c r="Q29" s="232"/>
      <c r="R29" s="232"/>
      <c r="S29" s="232"/>
      <c r="T29" s="232"/>
      <c r="U29" s="233"/>
      <c r="W29" s="2"/>
      <c r="X29"/>
      <c r="Y29"/>
    </row>
    <row r="30" spans="2:25" s="1" customFormat="1" ht="14.7" customHeight="1" outlineLevel="1" x14ac:dyDescent="0.3">
      <c r="B30" s="202" t="s">
        <v>54</v>
      </c>
      <c r="C30" s="225"/>
      <c r="D30" s="225"/>
      <c r="E30" s="225"/>
      <c r="F30" s="225"/>
      <c r="G30" s="225"/>
      <c r="H30" s="225"/>
      <c r="I30" s="225"/>
      <c r="J30" s="225"/>
      <c r="K30" s="225">
        <v>100</v>
      </c>
      <c r="L30" s="225"/>
      <c r="M30" s="225"/>
      <c r="N30" s="225"/>
      <c r="O30" s="225"/>
      <c r="P30" s="225"/>
      <c r="Q30" s="225"/>
      <c r="R30" s="225"/>
      <c r="S30" s="225"/>
      <c r="T30" s="225"/>
      <c r="U30" s="226"/>
      <c r="W30" s="2"/>
      <c r="X30"/>
      <c r="Y30"/>
    </row>
    <row r="31" spans="2:25" s="1" customFormat="1" ht="14.7" customHeight="1" outlineLevel="1" x14ac:dyDescent="0.3">
      <c r="B31" s="203" t="s">
        <v>56</v>
      </c>
      <c r="C31" s="228">
        <v>0</v>
      </c>
      <c r="D31" s="228">
        <f>$E29*1/12*($K30-SUM($C31:C31))</f>
        <v>0.33333333333333337</v>
      </c>
      <c r="E31" s="228">
        <f>$E29*2/12*($K30-SUM($C31:D31))</f>
        <v>0.66444444444444462</v>
      </c>
      <c r="F31" s="228">
        <f>$E29*3/12*($K30-SUM($C31:E31))</f>
        <v>0.99002222222222236</v>
      </c>
      <c r="G31" s="228">
        <f>$E29*3/12*($K30-SUM($C31:F31))</f>
        <v>0.98012200000000016</v>
      </c>
      <c r="H31" s="228">
        <f>$E29*3/12*($K30-SUM($C31:G31))</f>
        <v>0.97032078000000022</v>
      </c>
      <c r="I31" s="228">
        <f>$E29*6/12*($K30-SUM($C31:H31))</f>
        <v>1.9212351444000004</v>
      </c>
      <c r="J31" s="228">
        <f>$E29*6/12*($K30-SUM($C31:I31))</f>
        <v>1.8828104415120004</v>
      </c>
      <c r="K31" s="228">
        <f>K30-SUM(C31:J31)</f>
        <v>92.257711634087997</v>
      </c>
      <c r="L31" s="228"/>
      <c r="M31" s="228"/>
      <c r="N31" s="228"/>
      <c r="O31" s="228"/>
      <c r="P31" s="228"/>
      <c r="Q31" s="228"/>
      <c r="R31" s="228"/>
      <c r="S31" s="228"/>
      <c r="T31" s="228"/>
      <c r="U31" s="229"/>
      <c r="W31" s="2"/>
      <c r="X31"/>
      <c r="Y31"/>
    </row>
    <row r="32" spans="2:25" s="1" customFormat="1" outlineLevel="1" x14ac:dyDescent="0.3">
      <c r="B32" s="200" t="s">
        <v>58</v>
      </c>
      <c r="C32" s="582" t="s">
        <v>50</v>
      </c>
      <c r="D32" s="582"/>
      <c r="E32" s="583">
        <f>E$8*I32</f>
        <v>4.0000000000000008E-2</v>
      </c>
      <c r="F32" s="584"/>
      <c r="G32" s="585" t="s">
        <v>43</v>
      </c>
      <c r="H32" s="582"/>
      <c r="I32" s="583">
        <v>0.8</v>
      </c>
      <c r="J32" s="584"/>
      <c r="K32" s="231"/>
      <c r="L32" s="232"/>
      <c r="M32" s="232"/>
      <c r="N32" s="232"/>
      <c r="O32" s="232"/>
      <c r="P32" s="232"/>
      <c r="Q32" s="232"/>
      <c r="R32" s="232"/>
      <c r="S32" s="232"/>
      <c r="T32" s="232"/>
      <c r="U32" s="233"/>
      <c r="W32" s="2"/>
      <c r="X32"/>
      <c r="Y32"/>
    </row>
    <row r="33" spans="2:25" s="1" customFormat="1" ht="14.7" customHeight="1" outlineLevel="1" x14ac:dyDescent="0.3">
      <c r="B33" s="202" t="s">
        <v>54</v>
      </c>
      <c r="C33" s="225"/>
      <c r="D33" s="225"/>
      <c r="E33" s="225"/>
      <c r="F33" s="225"/>
      <c r="G33" s="225"/>
      <c r="H33" s="225"/>
      <c r="I33" s="225"/>
      <c r="J33" s="225"/>
      <c r="K33" s="225"/>
      <c r="L33" s="225"/>
      <c r="M33" s="225"/>
      <c r="N33" s="225"/>
      <c r="O33" s="225">
        <v>200</v>
      </c>
      <c r="P33" s="225"/>
      <c r="Q33" s="225"/>
      <c r="R33" s="225"/>
      <c r="S33" s="225"/>
      <c r="T33" s="225"/>
      <c r="U33" s="226"/>
      <c r="W33" s="2"/>
      <c r="X33"/>
      <c r="Y33"/>
    </row>
    <row r="34" spans="2:25" s="1" customFormat="1" ht="14.7" customHeight="1" outlineLevel="1" x14ac:dyDescent="0.3">
      <c r="B34" s="203" t="s">
        <v>56</v>
      </c>
      <c r="C34" s="228">
        <v>0</v>
      </c>
      <c r="D34" s="228">
        <f>$E32*1/12*($O33-SUM($C34:C34))</f>
        <v>0.66666666666666674</v>
      </c>
      <c r="E34" s="228">
        <f>$E32*2/12*($O33-SUM($C34:D34))</f>
        <v>1.3288888888888892</v>
      </c>
      <c r="F34" s="228">
        <f>$E32*3/12*($O33-SUM($C34:E34))</f>
        <v>1.9800444444444447</v>
      </c>
      <c r="G34" s="228">
        <f>$E32*3/12*($O33-SUM($C34:F34))</f>
        <v>1.9602440000000003</v>
      </c>
      <c r="H34" s="228">
        <f>$E32*3/12*($O33-SUM($C34:G34))</f>
        <v>1.9406415600000004</v>
      </c>
      <c r="I34" s="228">
        <f>$E32*6/12*($O33-SUM($C34:H34))</f>
        <v>3.8424702888000009</v>
      </c>
      <c r="J34" s="228">
        <f>$E32*6/12*($O33-SUM($C34:I34))</f>
        <v>3.7656208830240008</v>
      </c>
      <c r="K34" s="228">
        <f>$E32*1*($O33-SUM($C34:J34))</f>
        <v>7.3806169307270411</v>
      </c>
      <c r="L34" s="228">
        <f>$E32*1*($O33-SUM($C34:K34))</f>
        <v>7.0853922534979601</v>
      </c>
      <c r="M34" s="228">
        <f>$E32*1*($O33-SUM($C34:L34))</f>
        <v>6.8019765633580418</v>
      </c>
      <c r="N34" s="228">
        <f>$E32*1*($O33-SUM($C34:M34))</f>
        <v>6.5298975008237186</v>
      </c>
      <c r="O34" s="228">
        <f>O33-SUM(C34:N34)</f>
        <v>156.71754001976922</v>
      </c>
      <c r="P34" s="228"/>
      <c r="Q34" s="228"/>
      <c r="R34" s="228"/>
      <c r="S34" s="228"/>
      <c r="T34" s="228"/>
      <c r="U34" s="229"/>
      <c r="W34" s="2"/>
      <c r="X34"/>
      <c r="Y34"/>
    </row>
    <row r="35" spans="2:25" s="1" customFormat="1" ht="14.7" customHeight="1" outlineLevel="1" x14ac:dyDescent="0.3">
      <c r="B35" s="200" t="s">
        <v>254</v>
      </c>
      <c r="C35" s="222"/>
      <c r="D35" s="222"/>
      <c r="E35" s="222"/>
      <c r="F35" s="222"/>
      <c r="G35" s="222"/>
      <c r="H35" s="222"/>
      <c r="I35" s="222"/>
      <c r="J35" s="222"/>
      <c r="K35" s="222"/>
      <c r="L35" s="222"/>
      <c r="M35" s="222"/>
      <c r="N35" s="222"/>
      <c r="O35" s="222"/>
      <c r="P35" s="222"/>
      <c r="Q35" s="222"/>
      <c r="R35" s="222"/>
      <c r="S35" s="222"/>
      <c r="T35" s="222"/>
      <c r="U35" s="223"/>
      <c r="W35" s="2"/>
      <c r="X35"/>
      <c r="Y35"/>
    </row>
    <row r="36" spans="2:25" s="1" customFormat="1" ht="14.7" customHeight="1" x14ac:dyDescent="0.3">
      <c r="B36" s="250" t="s">
        <v>39</v>
      </c>
      <c r="C36" s="220">
        <f t="shared" ref="C36:U36" si="4">SUM(C39,C42)</f>
        <v>0</v>
      </c>
      <c r="D36" s="220">
        <f t="shared" si="4"/>
        <v>1.5</v>
      </c>
      <c r="E36" s="220">
        <f t="shared" si="4"/>
        <v>2.9849999999999999</v>
      </c>
      <c r="F36" s="220">
        <f t="shared" si="4"/>
        <v>4.4327249999999996</v>
      </c>
      <c r="G36" s="220">
        <f t="shared" si="4"/>
        <v>4.3662341250000001</v>
      </c>
      <c r="H36" s="220">
        <f t="shared" si="4"/>
        <v>4.3007406131249999</v>
      </c>
      <c r="I36" s="220">
        <f t="shared" si="4"/>
        <v>8.4724590078562496</v>
      </c>
      <c r="J36" s="220">
        <f t="shared" si="4"/>
        <v>8.2182852376205631</v>
      </c>
      <c r="K36" s="220">
        <f t="shared" si="4"/>
        <v>99.203834246121986</v>
      </c>
      <c r="L36" s="220">
        <f t="shared" si="4"/>
        <v>9.9912433062165711</v>
      </c>
      <c r="M36" s="220">
        <f t="shared" si="4"/>
        <v>9.3917687078435765</v>
      </c>
      <c r="N36" s="220">
        <f t="shared" si="4"/>
        <v>8.828262585372963</v>
      </c>
      <c r="O36" s="220">
        <f t="shared" si="4"/>
        <v>138.3094471708431</v>
      </c>
      <c r="P36" s="220">
        <f t="shared" si="4"/>
        <v>0</v>
      </c>
      <c r="Q36" s="220">
        <f t="shared" si="4"/>
        <v>0</v>
      </c>
      <c r="R36" s="220">
        <f t="shared" si="4"/>
        <v>0</v>
      </c>
      <c r="S36" s="220">
        <f t="shared" si="4"/>
        <v>0</v>
      </c>
      <c r="T36" s="220">
        <f t="shared" si="4"/>
        <v>0</v>
      </c>
      <c r="U36" s="221">
        <f t="shared" si="4"/>
        <v>0</v>
      </c>
      <c r="W36" s="2"/>
      <c r="X36"/>
      <c r="Y36"/>
    </row>
    <row r="37" spans="2:25" s="1" customFormat="1" outlineLevel="1" x14ac:dyDescent="0.3">
      <c r="B37" s="200" t="s">
        <v>57</v>
      </c>
      <c r="C37" s="578" t="s">
        <v>50</v>
      </c>
      <c r="D37" s="578"/>
      <c r="E37" s="579">
        <f>E$5*I37</f>
        <v>0.06</v>
      </c>
      <c r="F37" s="580"/>
      <c r="G37" s="581" t="s">
        <v>43</v>
      </c>
      <c r="H37" s="578"/>
      <c r="I37" s="579">
        <v>1.2</v>
      </c>
      <c r="J37" s="580"/>
      <c r="K37" s="234"/>
      <c r="L37" s="217"/>
      <c r="M37" s="217"/>
      <c r="N37" s="217"/>
      <c r="O37" s="217"/>
      <c r="P37" s="217"/>
      <c r="Q37" s="217"/>
      <c r="R37" s="217"/>
      <c r="S37" s="217"/>
      <c r="T37" s="217"/>
      <c r="U37" s="218"/>
      <c r="W37" s="2"/>
      <c r="X37"/>
      <c r="Y37"/>
    </row>
    <row r="38" spans="2:25" s="1" customFormat="1" ht="14.7" customHeight="1" outlineLevel="1" x14ac:dyDescent="0.3">
      <c r="B38" s="202" t="s">
        <v>54</v>
      </c>
      <c r="C38" s="225"/>
      <c r="D38" s="225"/>
      <c r="E38" s="225"/>
      <c r="F38" s="225"/>
      <c r="G38" s="225"/>
      <c r="H38" s="225"/>
      <c r="I38" s="225"/>
      <c r="J38" s="225"/>
      <c r="K38" s="225">
        <v>100</v>
      </c>
      <c r="L38" s="225"/>
      <c r="M38" s="225"/>
      <c r="N38" s="225"/>
      <c r="O38" s="225"/>
      <c r="P38" s="225"/>
      <c r="Q38" s="225"/>
      <c r="R38" s="225"/>
      <c r="S38" s="225"/>
      <c r="T38" s="225"/>
      <c r="U38" s="226"/>
      <c r="W38" s="2"/>
      <c r="X38"/>
      <c r="Y38"/>
    </row>
    <row r="39" spans="2:25" s="1" customFormat="1" ht="14.7" customHeight="1" outlineLevel="1" x14ac:dyDescent="0.3">
      <c r="B39" s="203" t="s">
        <v>56</v>
      </c>
      <c r="C39" s="228">
        <v>0</v>
      </c>
      <c r="D39" s="228">
        <f>$E37*1/12*($K38-SUM($C39:C39))</f>
        <v>0.5</v>
      </c>
      <c r="E39" s="228">
        <f>$E37*2/12*($K38-SUM($C39:D39))</f>
        <v>0.995</v>
      </c>
      <c r="F39" s="228">
        <f>$E37*3/12*($K38-SUM($C39:E39))</f>
        <v>1.4775749999999999</v>
      </c>
      <c r="G39" s="228">
        <f>$E37*3/12*($K38-SUM($C39:F39))</f>
        <v>1.455411375</v>
      </c>
      <c r="H39" s="228">
        <f>$E37*3/12*($K38-SUM($C39:G39))</f>
        <v>1.4335802043749999</v>
      </c>
      <c r="I39" s="228">
        <f>$E37*6/12*($K38-SUM($C39:H39))</f>
        <v>2.82415300261875</v>
      </c>
      <c r="J39" s="228">
        <f>$E37*6/12*($K38-SUM($C39:I39))</f>
        <v>2.7394284125401875</v>
      </c>
      <c r="K39" s="228">
        <f>K38-SUM(C39:J39)</f>
        <v>88.574852005466056</v>
      </c>
      <c r="L39" s="228"/>
      <c r="M39" s="228"/>
      <c r="N39" s="228"/>
      <c r="O39" s="228"/>
      <c r="P39" s="228"/>
      <c r="Q39" s="228"/>
      <c r="R39" s="228"/>
      <c r="S39" s="228"/>
      <c r="T39" s="228"/>
      <c r="U39" s="229"/>
      <c r="W39" s="2"/>
      <c r="X39"/>
      <c r="Y39"/>
    </row>
    <row r="40" spans="2:25" s="1" customFormat="1" outlineLevel="1" x14ac:dyDescent="0.3">
      <c r="B40" s="200" t="s">
        <v>58</v>
      </c>
      <c r="C40" s="582" t="s">
        <v>50</v>
      </c>
      <c r="D40" s="582"/>
      <c r="E40" s="583">
        <f>E$8*I40</f>
        <v>0.06</v>
      </c>
      <c r="F40" s="584"/>
      <c r="G40" s="585" t="s">
        <v>43</v>
      </c>
      <c r="H40" s="582"/>
      <c r="I40" s="583">
        <v>1.2</v>
      </c>
      <c r="J40" s="584"/>
      <c r="K40" s="231"/>
      <c r="L40" s="232"/>
      <c r="M40" s="232"/>
      <c r="N40" s="232"/>
      <c r="O40" s="232"/>
      <c r="P40" s="232"/>
      <c r="Q40" s="232"/>
      <c r="R40" s="232"/>
      <c r="S40" s="232"/>
      <c r="T40" s="232"/>
      <c r="U40" s="233"/>
      <c r="W40" s="2"/>
      <c r="X40"/>
      <c r="Y40"/>
    </row>
    <row r="41" spans="2:25" s="1" customFormat="1" ht="14.7" customHeight="1" outlineLevel="1" x14ac:dyDescent="0.3">
      <c r="B41" s="202" t="s">
        <v>54</v>
      </c>
      <c r="C41" s="225"/>
      <c r="D41" s="225"/>
      <c r="E41" s="225"/>
      <c r="F41" s="225"/>
      <c r="G41" s="225"/>
      <c r="H41" s="225"/>
      <c r="I41" s="225"/>
      <c r="J41" s="225"/>
      <c r="K41" s="225"/>
      <c r="L41" s="225"/>
      <c r="M41" s="225"/>
      <c r="N41" s="225"/>
      <c r="O41" s="225">
        <v>200</v>
      </c>
      <c r="P41" s="225"/>
      <c r="Q41" s="225"/>
      <c r="R41" s="225"/>
      <c r="S41" s="225"/>
      <c r="T41" s="225"/>
      <c r="U41" s="226"/>
      <c r="W41" s="2"/>
      <c r="X41"/>
      <c r="Y41"/>
    </row>
    <row r="42" spans="2:25" s="1" customFormat="1" ht="14.7" customHeight="1" outlineLevel="1" x14ac:dyDescent="0.3">
      <c r="B42" s="203" t="s">
        <v>56</v>
      </c>
      <c r="C42" s="228">
        <v>0</v>
      </c>
      <c r="D42" s="228">
        <f>$E40*1/12*($O41-SUM($C42:C42))</f>
        <v>1</v>
      </c>
      <c r="E42" s="228">
        <f>$E40*2/12*($O41-SUM($C42:D42))</f>
        <v>1.99</v>
      </c>
      <c r="F42" s="228">
        <f>$E40*3/12*($O41-SUM($C42:E42))</f>
        <v>2.9551499999999997</v>
      </c>
      <c r="G42" s="228">
        <f>$E40*3/12*($O41-SUM($C42:F42))</f>
        <v>2.9108227499999999</v>
      </c>
      <c r="H42" s="228">
        <f>$E40*3/12*($O41-SUM($C42:G42))</f>
        <v>2.8671604087499998</v>
      </c>
      <c r="I42" s="228">
        <f>$E40*6/12*($O41-SUM($C42:H42))</f>
        <v>5.6483060052375</v>
      </c>
      <c r="J42" s="228">
        <f>$E40*6/12*($O41-SUM($C42:I42))</f>
        <v>5.4788568250803751</v>
      </c>
      <c r="K42" s="228">
        <f>$E40*1*($O41-SUM($C42:J42))</f>
        <v>10.628982240655926</v>
      </c>
      <c r="L42" s="228">
        <f>$E40*1*($O41-SUM($C42:K42))</f>
        <v>9.9912433062165711</v>
      </c>
      <c r="M42" s="228">
        <f>$E40*1*($O41-SUM($C42:L42))</f>
        <v>9.3917687078435765</v>
      </c>
      <c r="N42" s="228">
        <f>$E40*1*($O41-SUM($C42:M42))</f>
        <v>8.828262585372963</v>
      </c>
      <c r="O42" s="228">
        <f>O41-SUM(C42:N42)</f>
        <v>138.3094471708431</v>
      </c>
      <c r="P42" s="228"/>
      <c r="Q42" s="228"/>
      <c r="R42" s="228"/>
      <c r="S42" s="228"/>
      <c r="T42" s="228"/>
      <c r="U42" s="229"/>
      <c r="W42" s="2"/>
      <c r="X42"/>
      <c r="Y42"/>
    </row>
    <row r="43" spans="2:25" s="1" customFormat="1" ht="14.7" customHeight="1" outlineLevel="1" x14ac:dyDescent="0.3">
      <c r="B43" s="200" t="s">
        <v>254</v>
      </c>
      <c r="C43" s="222"/>
      <c r="D43" s="222"/>
      <c r="E43" s="222"/>
      <c r="F43" s="222"/>
      <c r="G43" s="222"/>
      <c r="H43" s="222"/>
      <c r="I43" s="222"/>
      <c r="J43" s="222"/>
      <c r="K43" s="222"/>
      <c r="L43" s="222"/>
      <c r="M43" s="222"/>
      <c r="N43" s="222"/>
      <c r="O43" s="222"/>
      <c r="P43" s="222"/>
      <c r="Q43" s="222"/>
      <c r="R43" s="222"/>
      <c r="S43" s="222"/>
      <c r="T43" s="222"/>
      <c r="U43" s="223"/>
      <c r="W43" s="2"/>
      <c r="X43"/>
      <c r="Y43"/>
    </row>
    <row r="44" spans="2:25" s="1" customFormat="1" ht="14.7" customHeight="1" x14ac:dyDescent="0.3">
      <c r="B44" s="250" t="s">
        <v>33</v>
      </c>
      <c r="C44" s="220">
        <f t="shared" ref="C44:U44" si="5">SUM(C47,C50)</f>
        <v>0</v>
      </c>
      <c r="D44" s="220">
        <f t="shared" si="5"/>
        <v>1</v>
      </c>
      <c r="E44" s="220">
        <f t="shared" si="5"/>
        <v>1.9933333333333338</v>
      </c>
      <c r="F44" s="220">
        <f t="shared" si="5"/>
        <v>2.9700666666666669</v>
      </c>
      <c r="G44" s="220">
        <f t="shared" si="5"/>
        <v>2.9403660000000005</v>
      </c>
      <c r="H44" s="220">
        <f t="shared" si="5"/>
        <v>2.9109623400000006</v>
      </c>
      <c r="I44" s="220">
        <f t="shared" si="5"/>
        <v>5.7637054332000011</v>
      </c>
      <c r="J44" s="220">
        <f t="shared" si="5"/>
        <v>5.6484313245360012</v>
      </c>
      <c r="K44" s="220">
        <f t="shared" si="5"/>
        <v>99.638328564815041</v>
      </c>
      <c r="L44" s="220">
        <f t="shared" si="5"/>
        <v>7.0853922534979601</v>
      </c>
      <c r="M44" s="220">
        <f t="shared" si="5"/>
        <v>6.8019765633580418</v>
      </c>
      <c r="N44" s="220">
        <f t="shared" si="5"/>
        <v>6.5298975008237186</v>
      </c>
      <c r="O44" s="220">
        <f t="shared" si="5"/>
        <v>156.71754001976922</v>
      </c>
      <c r="P44" s="220">
        <f t="shared" si="5"/>
        <v>0</v>
      </c>
      <c r="Q44" s="220">
        <f t="shared" si="5"/>
        <v>0</v>
      </c>
      <c r="R44" s="220">
        <f t="shared" si="5"/>
        <v>0</v>
      </c>
      <c r="S44" s="220">
        <f t="shared" si="5"/>
        <v>0</v>
      </c>
      <c r="T44" s="220">
        <f t="shared" si="5"/>
        <v>0</v>
      </c>
      <c r="U44" s="221">
        <f t="shared" si="5"/>
        <v>0</v>
      </c>
      <c r="W44" s="2"/>
      <c r="X44"/>
      <c r="Y44"/>
    </row>
    <row r="45" spans="2:25" s="1" customFormat="1" outlineLevel="1" x14ac:dyDescent="0.3">
      <c r="B45" s="200" t="s">
        <v>57</v>
      </c>
      <c r="C45" s="582" t="s">
        <v>50</v>
      </c>
      <c r="D45" s="582"/>
      <c r="E45" s="583">
        <f>E$5*I45</f>
        <v>4.0000000000000008E-2</v>
      </c>
      <c r="F45" s="584"/>
      <c r="G45" s="585" t="s">
        <v>43</v>
      </c>
      <c r="H45" s="582"/>
      <c r="I45" s="583">
        <v>0.8</v>
      </c>
      <c r="J45" s="584"/>
      <c r="K45" s="231"/>
      <c r="L45" s="232"/>
      <c r="M45" s="232"/>
      <c r="N45" s="232"/>
      <c r="O45" s="232"/>
      <c r="P45" s="232"/>
      <c r="Q45" s="232"/>
      <c r="R45" s="232"/>
      <c r="S45" s="232"/>
      <c r="T45" s="232"/>
      <c r="U45" s="233"/>
      <c r="W45" s="2"/>
      <c r="X45"/>
      <c r="Y45"/>
    </row>
    <row r="46" spans="2:25" s="1" customFormat="1" ht="14.7" customHeight="1" outlineLevel="1" x14ac:dyDescent="0.3">
      <c r="B46" s="202" t="s">
        <v>54</v>
      </c>
      <c r="C46" s="225"/>
      <c r="D46" s="225"/>
      <c r="E46" s="225"/>
      <c r="F46" s="225"/>
      <c r="G46" s="225"/>
      <c r="H46" s="225"/>
      <c r="I46" s="225"/>
      <c r="J46" s="225"/>
      <c r="K46" s="225">
        <v>100</v>
      </c>
      <c r="L46" s="225"/>
      <c r="M46" s="225"/>
      <c r="N46" s="225"/>
      <c r="O46" s="225"/>
      <c r="P46" s="225"/>
      <c r="Q46" s="225"/>
      <c r="R46" s="225"/>
      <c r="S46" s="225"/>
      <c r="T46" s="225"/>
      <c r="U46" s="226"/>
      <c r="W46" s="2"/>
      <c r="X46"/>
      <c r="Y46"/>
    </row>
    <row r="47" spans="2:25" s="1" customFormat="1" ht="14.7" customHeight="1" outlineLevel="1" x14ac:dyDescent="0.3">
      <c r="B47" s="203" t="s">
        <v>56</v>
      </c>
      <c r="C47" s="228">
        <v>0</v>
      </c>
      <c r="D47" s="228">
        <f>$E45*1/12*($K46-SUM($C47:C47))</f>
        <v>0.33333333333333337</v>
      </c>
      <c r="E47" s="228">
        <f>$E45*2/12*($K46-SUM($C47:D47))</f>
        <v>0.66444444444444462</v>
      </c>
      <c r="F47" s="228">
        <f>$E45*3/12*($K46-SUM($C47:E47))</f>
        <v>0.99002222222222236</v>
      </c>
      <c r="G47" s="228">
        <f>$E45*3/12*($K46-SUM($C47:F47))</f>
        <v>0.98012200000000016</v>
      </c>
      <c r="H47" s="228">
        <f>$E45*3/12*($K46-SUM($C47:G47))</f>
        <v>0.97032078000000022</v>
      </c>
      <c r="I47" s="228">
        <f>$E45*6/12*($K46-SUM($C47:H47))</f>
        <v>1.9212351444000004</v>
      </c>
      <c r="J47" s="228">
        <f>$E45*6/12*($K46-SUM($C47:I47))</f>
        <v>1.8828104415120004</v>
      </c>
      <c r="K47" s="228">
        <f>K46-SUM(C47:J47)</f>
        <v>92.257711634087997</v>
      </c>
      <c r="L47" s="228"/>
      <c r="M47" s="228"/>
      <c r="N47" s="228"/>
      <c r="O47" s="228"/>
      <c r="P47" s="228"/>
      <c r="Q47" s="228"/>
      <c r="R47" s="228"/>
      <c r="S47" s="228"/>
      <c r="T47" s="228"/>
      <c r="U47" s="229"/>
      <c r="W47" s="2"/>
      <c r="X47"/>
      <c r="Y47"/>
    </row>
    <row r="48" spans="2:25" s="1" customFormat="1" outlineLevel="1" x14ac:dyDescent="0.3">
      <c r="B48" s="200" t="s">
        <v>58</v>
      </c>
      <c r="C48" s="582" t="s">
        <v>50</v>
      </c>
      <c r="D48" s="582"/>
      <c r="E48" s="583">
        <f>E$8*I48</f>
        <v>4.0000000000000008E-2</v>
      </c>
      <c r="F48" s="584"/>
      <c r="G48" s="585" t="s">
        <v>43</v>
      </c>
      <c r="H48" s="582"/>
      <c r="I48" s="583">
        <v>0.8</v>
      </c>
      <c r="J48" s="584"/>
      <c r="K48" s="231"/>
      <c r="L48" s="232"/>
      <c r="M48" s="232"/>
      <c r="N48" s="232"/>
      <c r="O48" s="232"/>
      <c r="P48" s="232"/>
      <c r="Q48" s="232"/>
      <c r="R48" s="232"/>
      <c r="S48" s="232"/>
      <c r="T48" s="232"/>
      <c r="U48" s="233"/>
      <c r="W48" s="2"/>
      <c r="X48"/>
      <c r="Y48"/>
    </row>
    <row r="49" spans="2:25" s="1" customFormat="1" ht="14.7" customHeight="1" outlineLevel="1" x14ac:dyDescent="0.3">
      <c r="B49" s="202" t="s">
        <v>54</v>
      </c>
      <c r="C49" s="225"/>
      <c r="D49" s="225"/>
      <c r="E49" s="225"/>
      <c r="F49" s="225"/>
      <c r="G49" s="225"/>
      <c r="H49" s="225"/>
      <c r="I49" s="225"/>
      <c r="J49" s="225"/>
      <c r="K49" s="225"/>
      <c r="L49" s="225"/>
      <c r="M49" s="225"/>
      <c r="N49" s="225"/>
      <c r="O49" s="225">
        <v>200</v>
      </c>
      <c r="P49" s="225"/>
      <c r="Q49" s="225"/>
      <c r="R49" s="225"/>
      <c r="S49" s="225"/>
      <c r="T49" s="225"/>
      <c r="U49" s="226"/>
      <c r="W49" s="2"/>
      <c r="X49"/>
      <c r="Y49"/>
    </row>
    <row r="50" spans="2:25" s="1" customFormat="1" ht="14.7" customHeight="1" outlineLevel="1" x14ac:dyDescent="0.3">
      <c r="B50" s="203" t="s">
        <v>56</v>
      </c>
      <c r="C50" s="228">
        <v>0</v>
      </c>
      <c r="D50" s="228">
        <f>$E48*1/12*($O49-SUM($C50:C50))</f>
        <v>0.66666666666666674</v>
      </c>
      <c r="E50" s="228">
        <f>$E48*2/12*($O49-SUM($C50:D50))</f>
        <v>1.3288888888888892</v>
      </c>
      <c r="F50" s="228">
        <f>$E48*3/12*($O49-SUM($C50:E50))</f>
        <v>1.9800444444444447</v>
      </c>
      <c r="G50" s="228">
        <f>$E48*3/12*($O49-SUM($C50:F50))</f>
        <v>1.9602440000000003</v>
      </c>
      <c r="H50" s="228">
        <f>$E48*3/12*($O49-SUM($C50:G50))</f>
        <v>1.9406415600000004</v>
      </c>
      <c r="I50" s="228">
        <f>$E48*6/12*($O49-SUM($C50:H50))</f>
        <v>3.8424702888000009</v>
      </c>
      <c r="J50" s="228">
        <f>$E48*6/12*($O49-SUM($C50:I50))</f>
        <v>3.7656208830240008</v>
      </c>
      <c r="K50" s="228">
        <f>$E48*1*($O49-SUM($C50:J50))</f>
        <v>7.3806169307270411</v>
      </c>
      <c r="L50" s="228">
        <f>$E48*1*($O49-SUM($C50:K50))</f>
        <v>7.0853922534979601</v>
      </c>
      <c r="M50" s="228">
        <f>$E48*1*($O49-SUM($C50:L50))</f>
        <v>6.8019765633580418</v>
      </c>
      <c r="N50" s="228">
        <f>$E48*1*($O49-SUM($C50:M50))</f>
        <v>6.5298975008237186</v>
      </c>
      <c r="O50" s="228">
        <f>O49-SUM(C50:N50)</f>
        <v>156.71754001976922</v>
      </c>
      <c r="P50" s="228"/>
      <c r="Q50" s="228"/>
      <c r="R50" s="228"/>
      <c r="S50" s="228"/>
      <c r="T50" s="228"/>
      <c r="U50" s="229"/>
      <c r="W50" s="2"/>
      <c r="X50"/>
      <c r="Y50"/>
    </row>
    <row r="51" spans="2:25" s="1" customFormat="1" ht="14.7" customHeight="1" outlineLevel="1" x14ac:dyDescent="0.3">
      <c r="B51" s="200" t="s">
        <v>254</v>
      </c>
      <c r="C51" s="222"/>
      <c r="D51" s="222"/>
      <c r="E51" s="222"/>
      <c r="F51" s="222"/>
      <c r="G51" s="222"/>
      <c r="H51" s="222"/>
      <c r="I51" s="222"/>
      <c r="J51" s="222"/>
      <c r="K51" s="222"/>
      <c r="L51" s="222"/>
      <c r="M51" s="222"/>
      <c r="N51" s="222"/>
      <c r="O51" s="222"/>
      <c r="P51" s="222"/>
      <c r="Q51" s="222"/>
      <c r="R51" s="222"/>
      <c r="S51" s="222"/>
      <c r="T51" s="222"/>
      <c r="U51" s="223"/>
      <c r="W51" s="2"/>
      <c r="X51"/>
      <c r="Y51"/>
    </row>
    <row r="52" spans="2:25" s="1" customFormat="1" ht="14.7" customHeight="1" x14ac:dyDescent="0.3">
      <c r="B52" s="250" t="s">
        <v>52</v>
      </c>
      <c r="C52" s="220">
        <f t="shared" ref="C52:U52" si="6">SUM(C55,C58)</f>
        <v>0</v>
      </c>
      <c r="D52" s="220">
        <f t="shared" si="6"/>
        <v>1.5</v>
      </c>
      <c r="E52" s="220">
        <f t="shared" si="6"/>
        <v>2.9849999999999999</v>
      </c>
      <c r="F52" s="220">
        <f t="shared" si="6"/>
        <v>4.4327249999999996</v>
      </c>
      <c r="G52" s="220">
        <f t="shared" si="6"/>
        <v>4.3662341250000001</v>
      </c>
      <c r="H52" s="220">
        <f t="shared" si="6"/>
        <v>4.3007406131249999</v>
      </c>
      <c r="I52" s="220">
        <f t="shared" si="6"/>
        <v>8.4724590078562496</v>
      </c>
      <c r="J52" s="220">
        <f t="shared" si="6"/>
        <v>8.2182852376205631</v>
      </c>
      <c r="K52" s="220">
        <f t="shared" si="6"/>
        <v>99.203834246121986</v>
      </c>
      <c r="L52" s="220">
        <f t="shared" si="6"/>
        <v>9.9912433062165711</v>
      </c>
      <c r="M52" s="220">
        <f t="shared" si="6"/>
        <v>9.3917687078435765</v>
      </c>
      <c r="N52" s="220">
        <f t="shared" si="6"/>
        <v>8.828262585372963</v>
      </c>
      <c r="O52" s="220">
        <f t="shared" si="6"/>
        <v>138.3094471708431</v>
      </c>
      <c r="P52" s="220">
        <f t="shared" si="6"/>
        <v>0</v>
      </c>
      <c r="Q52" s="220">
        <f t="shared" si="6"/>
        <v>0</v>
      </c>
      <c r="R52" s="220">
        <f t="shared" si="6"/>
        <v>0</v>
      </c>
      <c r="S52" s="220">
        <f t="shared" si="6"/>
        <v>0</v>
      </c>
      <c r="T52" s="220">
        <f t="shared" si="6"/>
        <v>0</v>
      </c>
      <c r="U52" s="221">
        <f t="shared" si="6"/>
        <v>0</v>
      </c>
      <c r="W52" s="2"/>
      <c r="X52"/>
      <c r="Y52"/>
    </row>
    <row r="53" spans="2:25" s="1" customFormat="1" outlineLevel="1" x14ac:dyDescent="0.3">
      <c r="B53" s="211" t="s">
        <v>57</v>
      </c>
      <c r="C53" s="578" t="s">
        <v>50</v>
      </c>
      <c r="D53" s="578"/>
      <c r="E53" s="579">
        <f>E$5*I53</f>
        <v>0.06</v>
      </c>
      <c r="F53" s="580"/>
      <c r="G53" s="581" t="s">
        <v>43</v>
      </c>
      <c r="H53" s="578"/>
      <c r="I53" s="579">
        <v>1.2</v>
      </c>
      <c r="J53" s="580"/>
      <c r="K53" s="234"/>
      <c r="L53" s="217"/>
      <c r="M53" s="217"/>
      <c r="N53" s="217"/>
      <c r="O53" s="217"/>
      <c r="P53" s="217"/>
      <c r="Q53" s="217"/>
      <c r="R53" s="217"/>
      <c r="S53" s="217"/>
      <c r="T53" s="217"/>
      <c r="U53" s="218"/>
      <c r="W53" s="2"/>
      <c r="X53"/>
      <c r="Y53"/>
    </row>
    <row r="54" spans="2:25" s="1" customFormat="1" ht="14.7" customHeight="1" outlineLevel="1" x14ac:dyDescent="0.3">
      <c r="B54" s="202" t="s">
        <v>54</v>
      </c>
      <c r="C54" s="225"/>
      <c r="D54" s="225"/>
      <c r="E54" s="225"/>
      <c r="F54" s="225"/>
      <c r="G54" s="225"/>
      <c r="H54" s="225"/>
      <c r="I54" s="225"/>
      <c r="J54" s="225"/>
      <c r="K54" s="225">
        <v>100</v>
      </c>
      <c r="L54" s="225"/>
      <c r="M54" s="225"/>
      <c r="N54" s="225"/>
      <c r="O54" s="225"/>
      <c r="P54" s="225"/>
      <c r="Q54" s="225"/>
      <c r="R54" s="225"/>
      <c r="S54" s="225"/>
      <c r="T54" s="225"/>
      <c r="U54" s="226"/>
      <c r="W54" s="2"/>
      <c r="X54"/>
      <c r="Y54"/>
    </row>
    <row r="55" spans="2:25" s="1" customFormat="1" ht="14.7" customHeight="1" outlineLevel="1" x14ac:dyDescent="0.3">
      <c r="B55" s="203" t="s">
        <v>56</v>
      </c>
      <c r="C55" s="228">
        <v>0</v>
      </c>
      <c r="D55" s="228">
        <f>$E53*1/12*($K54-SUM($C55:C55))</f>
        <v>0.5</v>
      </c>
      <c r="E55" s="228">
        <f>$E53*2/12*($K54-SUM($C55:D55))</f>
        <v>0.995</v>
      </c>
      <c r="F55" s="228">
        <f>$E53*3/12*($K54-SUM($C55:E55))</f>
        <v>1.4775749999999999</v>
      </c>
      <c r="G55" s="228">
        <f>$E53*3/12*($K54-SUM($C55:F55))</f>
        <v>1.455411375</v>
      </c>
      <c r="H55" s="228">
        <f>$E53*3/12*($K54-SUM($C55:G55))</f>
        <v>1.4335802043749999</v>
      </c>
      <c r="I55" s="228">
        <f>$E53*6/12*($K54-SUM($C55:H55))</f>
        <v>2.82415300261875</v>
      </c>
      <c r="J55" s="228">
        <f>$E53*6/12*($K54-SUM($C55:I55))</f>
        <v>2.7394284125401875</v>
      </c>
      <c r="K55" s="214">
        <f>K54-SUM(C55:J55)</f>
        <v>88.574852005466056</v>
      </c>
      <c r="L55" s="214"/>
      <c r="M55" s="214"/>
      <c r="N55" s="214"/>
      <c r="O55" s="214"/>
      <c r="P55" s="214"/>
      <c r="Q55" s="214"/>
      <c r="R55" s="214"/>
      <c r="S55" s="214"/>
      <c r="T55" s="214"/>
      <c r="U55" s="230"/>
      <c r="W55" s="2"/>
      <c r="X55"/>
      <c r="Y55"/>
    </row>
    <row r="56" spans="2:25" s="1" customFormat="1" outlineLevel="1" x14ac:dyDescent="0.3">
      <c r="B56" s="200" t="s">
        <v>58</v>
      </c>
      <c r="C56" s="582" t="s">
        <v>50</v>
      </c>
      <c r="D56" s="582"/>
      <c r="E56" s="583">
        <f>E$8*I56</f>
        <v>0.06</v>
      </c>
      <c r="F56" s="584"/>
      <c r="G56" s="585" t="s">
        <v>43</v>
      </c>
      <c r="H56" s="582"/>
      <c r="I56" s="583">
        <v>1.2</v>
      </c>
      <c r="J56" s="584"/>
      <c r="K56" s="231"/>
      <c r="L56" s="232"/>
      <c r="M56" s="232"/>
      <c r="N56" s="232"/>
      <c r="O56" s="232"/>
      <c r="P56" s="232"/>
      <c r="Q56" s="232"/>
      <c r="R56" s="232"/>
      <c r="S56" s="232"/>
      <c r="T56" s="232"/>
      <c r="U56" s="233"/>
      <c r="W56" s="2"/>
      <c r="X56"/>
      <c r="Y56"/>
    </row>
    <row r="57" spans="2:25" s="1" customFormat="1" ht="14.7" customHeight="1" outlineLevel="1" x14ac:dyDescent="0.3">
      <c r="B57" s="202" t="s">
        <v>54</v>
      </c>
      <c r="C57" s="225"/>
      <c r="D57" s="225"/>
      <c r="E57" s="225"/>
      <c r="F57" s="225"/>
      <c r="G57" s="225"/>
      <c r="H57" s="225"/>
      <c r="I57" s="225"/>
      <c r="J57" s="225"/>
      <c r="K57" s="215"/>
      <c r="L57" s="215"/>
      <c r="M57" s="215"/>
      <c r="N57" s="215"/>
      <c r="O57" s="215">
        <v>200</v>
      </c>
      <c r="P57" s="215"/>
      <c r="Q57" s="215"/>
      <c r="R57" s="215"/>
      <c r="S57" s="215"/>
      <c r="T57" s="215"/>
      <c r="U57" s="216"/>
      <c r="W57" s="2"/>
      <c r="X57"/>
      <c r="Y57"/>
    </row>
    <row r="58" spans="2:25" s="1" customFormat="1" ht="14.7" customHeight="1" outlineLevel="1" x14ac:dyDescent="0.3">
      <c r="B58" s="203" t="s">
        <v>56</v>
      </c>
      <c r="C58" s="228">
        <v>0</v>
      </c>
      <c r="D58" s="228">
        <f>$E56*1/12*($O57-SUM($C58:C58))</f>
        <v>1</v>
      </c>
      <c r="E58" s="228">
        <f>$E56*2/12*($O57-SUM($C58:D58))</f>
        <v>1.99</v>
      </c>
      <c r="F58" s="228">
        <f>$E56*3/12*($O57-SUM($C58:E58))</f>
        <v>2.9551499999999997</v>
      </c>
      <c r="G58" s="228">
        <f>$E56*3/12*($O57-SUM($C58:F58))</f>
        <v>2.9108227499999999</v>
      </c>
      <c r="H58" s="228">
        <f>$E56*3/12*($O57-SUM($C58:G58))</f>
        <v>2.8671604087499998</v>
      </c>
      <c r="I58" s="228">
        <f>$E56*6/12*($O57-SUM($C58:H58))</f>
        <v>5.6483060052375</v>
      </c>
      <c r="J58" s="228">
        <f>$E56*6/12*($O57-SUM($C58:I58))</f>
        <v>5.4788568250803751</v>
      </c>
      <c r="K58" s="228">
        <f>$E56*1*($O57-SUM($C58:J58))</f>
        <v>10.628982240655926</v>
      </c>
      <c r="L58" s="228">
        <f>$E56*1*($O57-SUM($C58:K58))</f>
        <v>9.9912433062165711</v>
      </c>
      <c r="M58" s="228">
        <f>$E56*1*($O57-SUM($C58:L58))</f>
        <v>9.3917687078435765</v>
      </c>
      <c r="N58" s="228">
        <f>$E56*1*($O57-SUM($C58:M58))</f>
        <v>8.828262585372963</v>
      </c>
      <c r="O58" s="228">
        <f>O57-SUM(C58:N58)</f>
        <v>138.3094471708431</v>
      </c>
      <c r="P58" s="228"/>
      <c r="Q58" s="228"/>
      <c r="R58" s="228"/>
      <c r="S58" s="228"/>
      <c r="T58" s="228"/>
      <c r="U58" s="229"/>
      <c r="W58" s="2"/>
      <c r="X58"/>
      <c r="Y58"/>
    </row>
    <row r="59" spans="2:25" s="1" customFormat="1" ht="14.7" customHeight="1" outlineLevel="1" x14ac:dyDescent="0.3">
      <c r="B59" s="200" t="s">
        <v>254</v>
      </c>
      <c r="C59" s="217"/>
      <c r="D59" s="217"/>
      <c r="E59" s="217"/>
      <c r="F59" s="217"/>
      <c r="G59" s="217"/>
      <c r="H59" s="217"/>
      <c r="I59" s="217"/>
      <c r="J59" s="217"/>
      <c r="K59" s="217"/>
      <c r="L59" s="217"/>
      <c r="M59" s="217"/>
      <c r="N59" s="217"/>
      <c r="O59" s="217"/>
      <c r="P59" s="217"/>
      <c r="Q59" s="217"/>
      <c r="R59" s="217"/>
      <c r="S59" s="217"/>
      <c r="T59" s="217"/>
      <c r="U59" s="218"/>
      <c r="W59" s="2"/>
      <c r="X59"/>
      <c r="Y59"/>
    </row>
    <row r="60" spans="2:25" s="1" customFormat="1" ht="14.7" customHeight="1" x14ac:dyDescent="0.3">
      <c r="W60" s="2"/>
      <c r="X60"/>
      <c r="Y60"/>
    </row>
    <row r="61" spans="2:25" s="1" customFormat="1" ht="14.7" customHeight="1" x14ac:dyDescent="0.3">
      <c r="W61" s="2"/>
      <c r="X61"/>
      <c r="Y61"/>
    </row>
  </sheetData>
  <sheetProtection algorithmName="SHA-512" hashValue="YbnMPJUYlEWCDonTgrBo30fkm9rmULviS8xA6dViFnQWZWSZNIbXBX1fNjoa13j4aUiSfIDi/FwfEXpsuoo2uQ==" saltValue="Mw9hVQdMt+dzPluhYJtx3Q==" spinCount="100000" sheet="1" objects="1" scenarios="1"/>
  <mergeCells count="53">
    <mergeCell ref="C5:D5"/>
    <mergeCell ref="E5:F5"/>
    <mergeCell ref="C8:D8"/>
    <mergeCell ref="E8:F8"/>
    <mergeCell ref="C13:D13"/>
    <mergeCell ref="E13:F13"/>
    <mergeCell ref="G13:H13"/>
    <mergeCell ref="I13:J13"/>
    <mergeCell ref="C16:D16"/>
    <mergeCell ref="E16:F16"/>
    <mergeCell ref="G16:H16"/>
    <mergeCell ref="I16:J16"/>
    <mergeCell ref="C21:D21"/>
    <mergeCell ref="E21:F21"/>
    <mergeCell ref="G21:H21"/>
    <mergeCell ref="I21:J21"/>
    <mergeCell ref="C24:D24"/>
    <mergeCell ref="E24:F24"/>
    <mergeCell ref="G24:H24"/>
    <mergeCell ref="I24:J24"/>
    <mergeCell ref="I29:J29"/>
    <mergeCell ref="C32:D32"/>
    <mergeCell ref="E32:F32"/>
    <mergeCell ref="G32:H32"/>
    <mergeCell ref="I32:J32"/>
    <mergeCell ref="C56:D56"/>
    <mergeCell ref="E56:F56"/>
    <mergeCell ref="G56:H56"/>
    <mergeCell ref="I56:J56"/>
    <mergeCell ref="C45:D45"/>
    <mergeCell ref="E45:F45"/>
    <mergeCell ref="G45:H45"/>
    <mergeCell ref="I45:J45"/>
    <mergeCell ref="C48:D48"/>
    <mergeCell ref="E48:F48"/>
    <mergeCell ref="G48:H48"/>
    <mergeCell ref="I48:J48"/>
    <mergeCell ref="B1:L1"/>
    <mergeCell ref="C53:D53"/>
    <mergeCell ref="E53:F53"/>
    <mergeCell ref="G53:H53"/>
    <mergeCell ref="I53:J53"/>
    <mergeCell ref="C37:D37"/>
    <mergeCell ref="E37:F37"/>
    <mergeCell ref="G37:H37"/>
    <mergeCell ref="I37:J37"/>
    <mergeCell ref="C40:D40"/>
    <mergeCell ref="E40:F40"/>
    <mergeCell ref="G40:H40"/>
    <mergeCell ref="I40:J40"/>
    <mergeCell ref="C29:D29"/>
    <mergeCell ref="E29:F29"/>
    <mergeCell ref="G29:H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4517E-E953-428B-965B-B792308FED87}">
  <sheetPr codeName="Sheet4">
    <tabColor theme="0" tint="-4.9989318521683403E-2"/>
    <outlinePr summaryBelow="0" summaryRight="0"/>
  </sheetPr>
  <dimension ref="A1:Y60"/>
  <sheetViews>
    <sheetView showGridLines="0" zoomScale="110" zoomScaleNormal="110" workbookViewId="0">
      <selection activeCell="B1" sqref="B1:L1"/>
    </sheetView>
  </sheetViews>
  <sheetFormatPr defaultColWidth="8.6640625" defaultRowHeight="14.4" outlineLevelRow="1" x14ac:dyDescent="0.3"/>
  <cols>
    <col min="1" max="1" width="2.6640625" style="1" customWidth="1"/>
    <col min="2" max="2" width="34.44140625" style="1" customWidth="1"/>
    <col min="3" max="4" width="11.5546875" style="1" customWidth="1"/>
    <col min="5" max="21" width="9.44140625" style="1" customWidth="1"/>
    <col min="22" max="22" width="6.6640625" style="1" customWidth="1"/>
    <col min="23" max="23" width="6.6640625" style="2" customWidth="1"/>
  </cols>
  <sheetData>
    <row r="1" spans="2:25" ht="140.25" customHeight="1" x14ac:dyDescent="0.3">
      <c r="B1" s="566" t="s">
        <v>255</v>
      </c>
      <c r="C1" s="576"/>
      <c r="D1" s="576"/>
      <c r="E1" s="576"/>
      <c r="F1" s="576"/>
      <c r="G1" s="576"/>
      <c r="H1" s="576"/>
      <c r="I1" s="576"/>
      <c r="J1" s="576"/>
      <c r="K1" s="576"/>
      <c r="L1" s="577"/>
    </row>
    <row r="3" spans="2:25" s="1" customFormat="1" ht="20.399999999999999" customHeight="1" x14ac:dyDescent="0.3">
      <c r="B3" s="213" t="s">
        <v>59</v>
      </c>
      <c r="C3" s="247" t="s">
        <v>0</v>
      </c>
      <c r="D3" s="247" t="s">
        <v>51</v>
      </c>
      <c r="E3" s="248" t="s">
        <v>3</v>
      </c>
      <c r="F3" s="247" t="s">
        <v>4</v>
      </c>
      <c r="G3" s="248" t="s">
        <v>5</v>
      </c>
      <c r="H3" s="248" t="s">
        <v>6</v>
      </c>
      <c r="I3" s="247" t="s">
        <v>19</v>
      </c>
      <c r="J3" s="248" t="s">
        <v>20</v>
      </c>
      <c r="K3" s="247" t="s">
        <v>21</v>
      </c>
      <c r="L3" s="247" t="s">
        <v>22</v>
      </c>
      <c r="M3" s="247" t="s">
        <v>23</v>
      </c>
      <c r="N3" s="247" t="s">
        <v>24</v>
      </c>
      <c r="O3" s="247" t="s">
        <v>25</v>
      </c>
      <c r="P3" s="247" t="s">
        <v>26</v>
      </c>
      <c r="Q3" s="247" t="s">
        <v>27</v>
      </c>
      <c r="R3" s="248" t="s">
        <v>28</v>
      </c>
      <c r="S3" s="247" t="s">
        <v>29</v>
      </c>
      <c r="T3" s="247" t="s">
        <v>30</v>
      </c>
      <c r="U3" s="249" t="s">
        <v>31</v>
      </c>
      <c r="W3" s="2"/>
      <c r="X3"/>
      <c r="Y3"/>
    </row>
    <row r="4" spans="2:25" s="1" customFormat="1" ht="14.7" customHeight="1" x14ac:dyDescent="0.3">
      <c r="B4" s="199" t="s">
        <v>18</v>
      </c>
      <c r="C4" s="219">
        <f t="shared" ref="C4:U4" si="0">SUM(C7,C10)</f>
        <v>-15</v>
      </c>
      <c r="D4" s="220">
        <f t="shared" si="0"/>
        <v>0</v>
      </c>
      <c r="E4" s="220">
        <f t="shared" si="0"/>
        <v>0</v>
      </c>
      <c r="F4" s="220">
        <f t="shared" si="0"/>
        <v>0</v>
      </c>
      <c r="G4" s="220">
        <f t="shared" si="0"/>
        <v>0</v>
      </c>
      <c r="H4" s="220">
        <f t="shared" si="0"/>
        <v>0</v>
      </c>
      <c r="I4" s="220">
        <f t="shared" si="0"/>
        <v>0</v>
      </c>
      <c r="J4" s="220">
        <f t="shared" si="0"/>
        <v>0</v>
      </c>
      <c r="K4" s="220">
        <f t="shared" si="0"/>
        <v>-45</v>
      </c>
      <c r="L4" s="220">
        <f t="shared" si="0"/>
        <v>0</v>
      </c>
      <c r="M4" s="220">
        <f t="shared" si="0"/>
        <v>0</v>
      </c>
      <c r="N4" s="220">
        <f t="shared" si="0"/>
        <v>0</v>
      </c>
      <c r="O4" s="220">
        <f t="shared" si="0"/>
        <v>-90</v>
      </c>
      <c r="P4" s="220">
        <f t="shared" si="0"/>
        <v>0</v>
      </c>
      <c r="Q4" s="220">
        <f t="shared" si="0"/>
        <v>0</v>
      </c>
      <c r="R4" s="220">
        <f t="shared" si="0"/>
        <v>0</v>
      </c>
      <c r="S4" s="220">
        <f t="shared" si="0"/>
        <v>0</v>
      </c>
      <c r="T4" s="220">
        <f t="shared" si="0"/>
        <v>0</v>
      </c>
      <c r="U4" s="221">
        <f t="shared" si="0"/>
        <v>0</v>
      </c>
      <c r="W4" s="2"/>
      <c r="X4"/>
      <c r="Y4"/>
    </row>
    <row r="5" spans="2:25" s="1" customFormat="1" ht="14.7" customHeight="1" outlineLevel="1" x14ac:dyDescent="0.3">
      <c r="B5" s="200" t="s">
        <v>57</v>
      </c>
      <c r="C5" s="578" t="s">
        <v>256</v>
      </c>
      <c r="D5" s="597"/>
      <c r="E5" s="579">
        <v>0.1</v>
      </c>
      <c r="F5" s="580"/>
      <c r="G5" s="231"/>
      <c r="H5" s="232"/>
      <c r="I5" s="232"/>
      <c r="J5" s="232"/>
      <c r="K5" s="232"/>
      <c r="L5" s="232"/>
      <c r="M5" s="232"/>
      <c r="N5" s="232"/>
      <c r="O5" s="232"/>
      <c r="P5" s="232"/>
      <c r="Q5" s="232"/>
      <c r="R5" s="232"/>
      <c r="S5" s="232"/>
      <c r="T5" s="232"/>
      <c r="U5" s="233"/>
      <c r="W5" s="2"/>
      <c r="X5"/>
      <c r="Y5"/>
    </row>
    <row r="6" spans="2:25" s="1" customFormat="1" ht="14.7" customHeight="1" outlineLevel="1" x14ac:dyDescent="0.3">
      <c r="B6" s="202" t="s">
        <v>54</v>
      </c>
      <c r="C6" s="253"/>
      <c r="D6" s="254"/>
      <c r="E6" s="254"/>
      <c r="F6" s="254"/>
      <c r="G6" s="254"/>
      <c r="H6" s="254"/>
      <c r="I6" s="254"/>
      <c r="J6" s="254"/>
      <c r="K6" s="254">
        <v>-50</v>
      </c>
      <c r="L6" s="225"/>
      <c r="M6" s="225"/>
      <c r="N6" s="225"/>
      <c r="O6" s="225"/>
      <c r="P6" s="225"/>
      <c r="Q6" s="225"/>
      <c r="R6" s="225"/>
      <c r="S6" s="225"/>
      <c r="T6" s="225"/>
      <c r="U6" s="226"/>
      <c r="W6" s="2"/>
      <c r="X6"/>
      <c r="Y6"/>
    </row>
    <row r="7" spans="2:25" s="1" customFormat="1" ht="14.7" customHeight="1" outlineLevel="1" x14ac:dyDescent="0.3">
      <c r="B7" s="203" t="s">
        <v>257</v>
      </c>
      <c r="C7" s="227">
        <f>K6*E5</f>
        <v>-5</v>
      </c>
      <c r="D7" s="228"/>
      <c r="E7" s="228"/>
      <c r="F7" s="228"/>
      <c r="G7" s="228"/>
      <c r="H7" s="228"/>
      <c r="I7" s="228"/>
      <c r="J7" s="228"/>
      <c r="K7" s="228">
        <f>K6-SUM(C7:J7)</f>
        <v>-45</v>
      </c>
      <c r="L7" s="251"/>
      <c r="M7" s="251"/>
      <c r="N7" s="251"/>
      <c r="O7" s="251"/>
      <c r="P7" s="251"/>
      <c r="Q7" s="251"/>
      <c r="R7" s="251"/>
      <c r="S7" s="251"/>
      <c r="T7" s="251"/>
      <c r="U7" s="252"/>
      <c r="W7" s="2"/>
      <c r="X7"/>
      <c r="Y7"/>
    </row>
    <row r="8" spans="2:25" s="1" customFormat="1" ht="14.7" customHeight="1" outlineLevel="1" x14ac:dyDescent="0.3">
      <c r="B8" s="200" t="s">
        <v>58</v>
      </c>
      <c r="C8" s="578" t="s">
        <v>256</v>
      </c>
      <c r="D8" s="597"/>
      <c r="E8" s="579">
        <v>0.1</v>
      </c>
      <c r="F8" s="580"/>
      <c r="G8" s="234"/>
      <c r="H8" s="217"/>
      <c r="I8" s="217"/>
      <c r="J8" s="217"/>
      <c r="K8" s="217"/>
      <c r="L8" s="217"/>
      <c r="M8" s="217"/>
      <c r="N8" s="217"/>
      <c r="O8" s="217"/>
      <c r="P8" s="217"/>
      <c r="Q8" s="217"/>
      <c r="R8" s="217"/>
      <c r="S8" s="217"/>
      <c r="T8" s="217"/>
      <c r="U8" s="218"/>
      <c r="W8" s="2"/>
      <c r="X8"/>
      <c r="Y8"/>
    </row>
    <row r="9" spans="2:25" s="1" customFormat="1" ht="14.7" customHeight="1" outlineLevel="1" x14ac:dyDescent="0.3">
      <c r="B9" s="202" t="s">
        <v>54</v>
      </c>
      <c r="C9" s="224"/>
      <c r="D9" s="225"/>
      <c r="E9" s="225"/>
      <c r="F9" s="225"/>
      <c r="G9" s="225"/>
      <c r="H9" s="225"/>
      <c r="I9" s="225"/>
      <c r="J9" s="225"/>
      <c r="K9" s="225"/>
      <c r="L9" s="225"/>
      <c r="M9" s="225"/>
      <c r="N9" s="225"/>
      <c r="O9" s="225">
        <v>-100</v>
      </c>
      <c r="P9" s="225"/>
      <c r="Q9" s="225"/>
      <c r="R9" s="225"/>
      <c r="S9" s="225"/>
      <c r="T9" s="225"/>
      <c r="U9" s="226"/>
      <c r="W9" s="2"/>
      <c r="X9"/>
      <c r="Y9"/>
    </row>
    <row r="10" spans="2:25" s="1" customFormat="1" ht="14.7" customHeight="1" outlineLevel="1" x14ac:dyDescent="0.3">
      <c r="B10" s="203" t="s">
        <v>257</v>
      </c>
      <c r="C10" s="227">
        <f>O9*E8</f>
        <v>-10</v>
      </c>
      <c r="D10" s="228"/>
      <c r="E10" s="228"/>
      <c r="F10" s="228"/>
      <c r="G10" s="228"/>
      <c r="H10" s="228"/>
      <c r="I10" s="228"/>
      <c r="J10" s="228"/>
      <c r="K10" s="228"/>
      <c r="L10" s="228"/>
      <c r="M10" s="228"/>
      <c r="N10" s="228"/>
      <c r="O10" s="251">
        <f>O9-SUM(C10:N10)</f>
        <v>-90</v>
      </c>
      <c r="P10" s="251"/>
      <c r="Q10" s="251"/>
      <c r="R10" s="251"/>
      <c r="S10" s="251"/>
      <c r="T10" s="251"/>
      <c r="U10" s="252"/>
      <c r="W10" s="2"/>
      <c r="X10"/>
      <c r="Y10"/>
    </row>
    <row r="11" spans="2:25" s="1" customFormat="1" ht="14.7" customHeight="1" outlineLevel="1" x14ac:dyDescent="0.3">
      <c r="B11" s="200" t="s">
        <v>254</v>
      </c>
      <c r="C11" s="255"/>
      <c r="D11" s="255"/>
      <c r="E11" s="255"/>
      <c r="F11" s="255"/>
      <c r="G11" s="255"/>
      <c r="H11" s="255"/>
      <c r="I11" s="255"/>
      <c r="J11" s="255"/>
      <c r="K11" s="255"/>
      <c r="L11" s="255"/>
      <c r="M11" s="255"/>
      <c r="N11" s="255"/>
      <c r="O11" s="255"/>
      <c r="P11" s="255"/>
      <c r="Q11" s="255"/>
      <c r="R11" s="255"/>
      <c r="S11" s="255"/>
      <c r="T11" s="255"/>
      <c r="U11" s="258"/>
      <c r="W11" s="2"/>
      <c r="X11"/>
      <c r="Y11"/>
    </row>
    <row r="12" spans="2:25" s="1" customFormat="1" ht="14.7" customHeight="1" x14ac:dyDescent="0.3">
      <c r="B12" s="250" t="s">
        <v>40</v>
      </c>
      <c r="C12" s="219">
        <f t="shared" ref="C12:U12" si="1">SUM(C15,C18)</f>
        <v>-18</v>
      </c>
      <c r="D12" s="220">
        <f t="shared" si="1"/>
        <v>0</v>
      </c>
      <c r="E12" s="220">
        <f t="shared" si="1"/>
        <v>0</v>
      </c>
      <c r="F12" s="220">
        <f t="shared" si="1"/>
        <v>0</v>
      </c>
      <c r="G12" s="220">
        <f>SUM(G15,G18)</f>
        <v>0</v>
      </c>
      <c r="H12" s="220">
        <f t="shared" si="1"/>
        <v>0</v>
      </c>
      <c r="I12" s="220">
        <f t="shared" si="1"/>
        <v>0</v>
      </c>
      <c r="J12" s="220">
        <f t="shared" si="1"/>
        <v>0</v>
      </c>
      <c r="K12" s="254">
        <f t="shared" si="1"/>
        <v>-44</v>
      </c>
      <c r="L12" s="254">
        <f t="shared" si="1"/>
        <v>0</v>
      </c>
      <c r="M12" s="254">
        <f t="shared" si="1"/>
        <v>0</v>
      </c>
      <c r="N12" s="254">
        <f t="shared" si="1"/>
        <v>0</v>
      </c>
      <c r="O12" s="254">
        <f t="shared" si="1"/>
        <v>-88</v>
      </c>
      <c r="P12" s="254">
        <f t="shared" si="1"/>
        <v>0</v>
      </c>
      <c r="Q12" s="254">
        <f t="shared" si="1"/>
        <v>0</v>
      </c>
      <c r="R12" s="254">
        <f t="shared" si="1"/>
        <v>0</v>
      </c>
      <c r="S12" s="254">
        <f t="shared" si="1"/>
        <v>0</v>
      </c>
      <c r="T12" s="254">
        <f t="shared" si="1"/>
        <v>0</v>
      </c>
      <c r="U12" s="256">
        <f t="shared" si="1"/>
        <v>0</v>
      </c>
      <c r="W12" s="2"/>
      <c r="X12"/>
      <c r="Y12"/>
    </row>
    <row r="13" spans="2:25" s="1" customFormat="1" ht="14.7" customHeight="1" outlineLevel="1" x14ac:dyDescent="0.3">
      <c r="B13" s="200" t="s">
        <v>57</v>
      </c>
      <c r="C13" s="582" t="s">
        <v>256</v>
      </c>
      <c r="D13" s="589"/>
      <c r="E13" s="583">
        <f>E$5*I13</f>
        <v>0.12</v>
      </c>
      <c r="F13" s="584"/>
      <c r="G13" s="585" t="s">
        <v>43</v>
      </c>
      <c r="H13" s="589"/>
      <c r="I13" s="583">
        <v>1.2</v>
      </c>
      <c r="J13" s="584"/>
      <c r="K13" s="231"/>
      <c r="L13" s="232"/>
      <c r="M13" s="232"/>
      <c r="N13" s="232"/>
      <c r="O13" s="232"/>
      <c r="P13" s="232"/>
      <c r="Q13" s="232"/>
      <c r="R13" s="232"/>
      <c r="S13" s="232"/>
      <c r="T13" s="232"/>
      <c r="U13" s="233"/>
      <c r="W13" s="2"/>
      <c r="X13"/>
      <c r="Y13"/>
    </row>
    <row r="14" spans="2:25" s="1" customFormat="1" ht="14.7" customHeight="1" outlineLevel="1" x14ac:dyDescent="0.3">
      <c r="B14" s="202" t="s">
        <v>54</v>
      </c>
      <c r="C14" s="253"/>
      <c r="D14" s="254"/>
      <c r="E14" s="254"/>
      <c r="F14" s="254"/>
      <c r="G14" s="254"/>
      <c r="H14" s="254"/>
      <c r="I14" s="254"/>
      <c r="J14" s="254"/>
      <c r="K14" s="214">
        <v>-50</v>
      </c>
      <c r="L14" s="215"/>
      <c r="M14" s="215"/>
      <c r="N14" s="215"/>
      <c r="O14" s="215"/>
      <c r="P14" s="215"/>
      <c r="Q14" s="215"/>
      <c r="R14" s="215"/>
      <c r="S14" s="215"/>
      <c r="T14" s="215"/>
      <c r="U14" s="216"/>
      <c r="W14" s="2"/>
      <c r="X14"/>
      <c r="Y14"/>
    </row>
    <row r="15" spans="2:25" s="1" customFormat="1" ht="14.7" customHeight="1" outlineLevel="1" x14ac:dyDescent="0.3">
      <c r="B15" s="203" t="s">
        <v>257</v>
      </c>
      <c r="C15" s="227">
        <f>K14*E13</f>
        <v>-6</v>
      </c>
      <c r="D15" s="228"/>
      <c r="E15" s="228"/>
      <c r="F15" s="228"/>
      <c r="G15" s="228"/>
      <c r="H15" s="228"/>
      <c r="I15" s="228"/>
      <c r="J15" s="228"/>
      <c r="K15" s="214">
        <f>K14-SUM(C15:J15)</f>
        <v>-44</v>
      </c>
      <c r="L15" s="215"/>
      <c r="M15" s="215"/>
      <c r="N15" s="215"/>
      <c r="O15" s="215"/>
      <c r="P15" s="215"/>
      <c r="Q15" s="215"/>
      <c r="R15" s="215"/>
      <c r="S15" s="215"/>
      <c r="T15" s="215"/>
      <c r="U15" s="216"/>
      <c r="W15" s="2"/>
      <c r="X15"/>
      <c r="Y15"/>
    </row>
    <row r="16" spans="2:25" s="1" customFormat="1" ht="14.7" customHeight="1" outlineLevel="1" x14ac:dyDescent="0.3">
      <c r="B16" s="200" t="s">
        <v>58</v>
      </c>
      <c r="C16" s="582" t="s">
        <v>256</v>
      </c>
      <c r="D16" s="589"/>
      <c r="E16" s="583">
        <f>E$8*I16</f>
        <v>0.12</v>
      </c>
      <c r="F16" s="584"/>
      <c r="G16" s="585" t="s">
        <v>43</v>
      </c>
      <c r="H16" s="589"/>
      <c r="I16" s="583">
        <v>1.2</v>
      </c>
      <c r="J16" s="584"/>
      <c r="K16" s="231"/>
      <c r="L16" s="232"/>
      <c r="M16" s="232"/>
      <c r="N16" s="232"/>
      <c r="O16" s="232"/>
      <c r="P16" s="232"/>
      <c r="Q16" s="232"/>
      <c r="R16" s="232"/>
      <c r="S16" s="232"/>
      <c r="T16" s="232"/>
      <c r="U16" s="233"/>
      <c r="W16" s="2"/>
      <c r="X16"/>
      <c r="Y16"/>
    </row>
    <row r="17" spans="2:25" s="1" customFormat="1" ht="14.7" customHeight="1" outlineLevel="1" x14ac:dyDescent="0.3">
      <c r="B17" s="202" t="s">
        <v>54</v>
      </c>
      <c r="C17" s="224"/>
      <c r="D17" s="225"/>
      <c r="E17" s="225"/>
      <c r="F17" s="225"/>
      <c r="G17" s="225"/>
      <c r="H17" s="225"/>
      <c r="I17" s="225"/>
      <c r="J17" s="225"/>
      <c r="K17" s="215"/>
      <c r="L17" s="215"/>
      <c r="M17" s="215"/>
      <c r="N17" s="215"/>
      <c r="O17" s="215">
        <v>-100</v>
      </c>
      <c r="P17" s="215"/>
      <c r="Q17" s="215"/>
      <c r="R17" s="215"/>
      <c r="S17" s="215"/>
      <c r="T17" s="215"/>
      <c r="U17" s="216"/>
      <c r="W17" s="2"/>
      <c r="X17"/>
      <c r="Y17"/>
    </row>
    <row r="18" spans="2:25" s="1" customFormat="1" ht="14.7" customHeight="1" outlineLevel="1" x14ac:dyDescent="0.3">
      <c r="B18" s="203" t="s">
        <v>257</v>
      </c>
      <c r="C18" s="227">
        <f>O17*E16</f>
        <v>-12</v>
      </c>
      <c r="D18" s="228"/>
      <c r="E18" s="228"/>
      <c r="F18" s="228"/>
      <c r="G18" s="228"/>
      <c r="H18" s="228"/>
      <c r="I18" s="228"/>
      <c r="J18" s="228"/>
      <c r="K18" s="228"/>
      <c r="L18" s="228"/>
      <c r="M18" s="228"/>
      <c r="N18" s="228"/>
      <c r="O18" s="251">
        <f>O17-SUM(C18:N18)</f>
        <v>-88</v>
      </c>
      <c r="P18" s="251"/>
      <c r="Q18" s="251"/>
      <c r="R18" s="251"/>
      <c r="S18" s="251"/>
      <c r="T18" s="251"/>
      <c r="U18" s="252"/>
      <c r="W18" s="2"/>
      <c r="X18"/>
      <c r="Y18"/>
    </row>
    <row r="19" spans="2:25" s="1" customFormat="1" ht="14.7" customHeight="1" outlineLevel="1" x14ac:dyDescent="0.3">
      <c r="B19" s="200" t="s">
        <v>254</v>
      </c>
      <c r="C19" s="255"/>
      <c r="D19" s="255"/>
      <c r="E19" s="255"/>
      <c r="F19" s="255"/>
      <c r="G19" s="255"/>
      <c r="H19" s="255"/>
      <c r="I19" s="255"/>
      <c r="J19" s="255"/>
      <c r="K19" s="255"/>
      <c r="L19" s="255"/>
      <c r="M19" s="255"/>
      <c r="N19" s="255"/>
      <c r="O19" s="255"/>
      <c r="P19" s="255"/>
      <c r="Q19" s="255"/>
      <c r="R19" s="255"/>
      <c r="S19" s="255"/>
      <c r="T19" s="255"/>
      <c r="U19" s="259"/>
      <c r="W19" s="2"/>
      <c r="X19"/>
      <c r="Y19"/>
    </row>
    <row r="20" spans="2:25" s="1" customFormat="1" ht="14.7" customHeight="1" x14ac:dyDescent="0.3">
      <c r="B20" s="250" t="s">
        <v>41</v>
      </c>
      <c r="C20" s="219">
        <f>SUM(C23,C26)</f>
        <v>-12.000000000000004</v>
      </c>
      <c r="D20" s="220">
        <f t="shared" ref="D20:U20" si="2">SUM(D23,D26)</f>
        <v>0</v>
      </c>
      <c r="E20" s="220">
        <f t="shared" si="2"/>
        <v>0</v>
      </c>
      <c r="F20" s="220">
        <f t="shared" si="2"/>
        <v>0</v>
      </c>
      <c r="G20" s="220">
        <f t="shared" si="2"/>
        <v>0</v>
      </c>
      <c r="H20" s="220">
        <f t="shared" si="2"/>
        <v>0</v>
      </c>
      <c r="I20" s="220">
        <f t="shared" si="2"/>
        <v>0</v>
      </c>
      <c r="J20" s="220">
        <f t="shared" si="2"/>
        <v>0</v>
      </c>
      <c r="K20" s="220">
        <f t="shared" si="2"/>
        <v>-46</v>
      </c>
      <c r="L20" s="220">
        <f t="shared" si="2"/>
        <v>0</v>
      </c>
      <c r="M20" s="220">
        <f t="shared" si="2"/>
        <v>0</v>
      </c>
      <c r="N20" s="220">
        <f t="shared" si="2"/>
        <v>0</v>
      </c>
      <c r="O20" s="220">
        <f t="shared" si="2"/>
        <v>-92</v>
      </c>
      <c r="P20" s="220">
        <f t="shared" si="2"/>
        <v>0</v>
      </c>
      <c r="Q20" s="220">
        <f t="shared" si="2"/>
        <v>0</v>
      </c>
      <c r="R20" s="220">
        <f t="shared" si="2"/>
        <v>0</v>
      </c>
      <c r="S20" s="220">
        <f t="shared" si="2"/>
        <v>0</v>
      </c>
      <c r="T20" s="220">
        <f t="shared" si="2"/>
        <v>0</v>
      </c>
      <c r="U20" s="221">
        <f t="shared" si="2"/>
        <v>0</v>
      </c>
      <c r="W20" s="2"/>
      <c r="X20"/>
      <c r="Y20"/>
    </row>
    <row r="21" spans="2:25" s="1" customFormat="1" outlineLevel="1" x14ac:dyDescent="0.3">
      <c r="B21" s="200" t="s">
        <v>57</v>
      </c>
      <c r="C21" s="590" t="s">
        <v>256</v>
      </c>
      <c r="D21" s="593"/>
      <c r="E21" s="594">
        <f>E$5*I21</f>
        <v>8.0000000000000016E-2</v>
      </c>
      <c r="F21" s="595"/>
      <c r="G21" s="596" t="s">
        <v>43</v>
      </c>
      <c r="H21" s="593"/>
      <c r="I21" s="594">
        <v>0.8</v>
      </c>
      <c r="J21" s="595"/>
      <c r="K21" s="235"/>
      <c r="L21" s="246"/>
      <c r="M21" s="246"/>
      <c r="N21" s="246"/>
      <c r="O21" s="246"/>
      <c r="P21" s="246"/>
      <c r="Q21" s="246"/>
      <c r="R21" s="246"/>
      <c r="S21" s="246"/>
      <c r="T21" s="246"/>
      <c r="U21" s="257"/>
      <c r="W21" s="2"/>
      <c r="X21"/>
      <c r="Y21"/>
    </row>
    <row r="22" spans="2:25" s="1" customFormat="1" ht="14.7" customHeight="1" outlineLevel="1" x14ac:dyDescent="0.3">
      <c r="B22" s="202" t="s">
        <v>54</v>
      </c>
      <c r="C22" s="253"/>
      <c r="D22" s="254"/>
      <c r="E22" s="254"/>
      <c r="F22" s="254"/>
      <c r="G22" s="254"/>
      <c r="H22" s="254"/>
      <c r="I22" s="254"/>
      <c r="J22" s="254"/>
      <c r="K22" s="254">
        <v>-50</v>
      </c>
      <c r="L22" s="225"/>
      <c r="M22" s="225"/>
      <c r="N22" s="225"/>
      <c r="O22" s="225"/>
      <c r="P22" s="225"/>
      <c r="Q22" s="225"/>
      <c r="R22" s="225"/>
      <c r="S22" s="225"/>
      <c r="T22" s="225"/>
      <c r="U22" s="226"/>
      <c r="W22" s="2"/>
      <c r="X22"/>
      <c r="Y22"/>
    </row>
    <row r="23" spans="2:25" s="1" customFormat="1" ht="14.7" customHeight="1" outlineLevel="1" x14ac:dyDescent="0.3">
      <c r="B23" s="203" t="s">
        <v>257</v>
      </c>
      <c r="C23" s="227">
        <f>K22*E21</f>
        <v>-4.0000000000000009</v>
      </c>
      <c r="D23" s="228"/>
      <c r="E23" s="228"/>
      <c r="F23" s="228"/>
      <c r="G23" s="228"/>
      <c r="H23" s="228"/>
      <c r="I23" s="228"/>
      <c r="J23" s="228"/>
      <c r="K23" s="228">
        <f>K22-SUM(C23:J23)</f>
        <v>-46</v>
      </c>
      <c r="L23" s="251"/>
      <c r="M23" s="251"/>
      <c r="N23" s="251"/>
      <c r="O23" s="251"/>
      <c r="P23" s="251"/>
      <c r="Q23" s="251"/>
      <c r="R23" s="251"/>
      <c r="S23" s="251"/>
      <c r="T23" s="251"/>
      <c r="U23" s="252"/>
      <c r="W23" s="2"/>
      <c r="X23"/>
      <c r="Y23"/>
    </row>
    <row r="24" spans="2:25" s="1" customFormat="1" outlineLevel="1" x14ac:dyDescent="0.3">
      <c r="B24" s="200" t="s">
        <v>58</v>
      </c>
      <c r="C24" s="578" t="s">
        <v>256</v>
      </c>
      <c r="D24" s="597"/>
      <c r="E24" s="579">
        <f>E$8*I24</f>
        <v>8.0000000000000016E-2</v>
      </c>
      <c r="F24" s="580"/>
      <c r="G24" s="581" t="s">
        <v>43</v>
      </c>
      <c r="H24" s="597"/>
      <c r="I24" s="579">
        <v>0.8</v>
      </c>
      <c r="J24" s="580"/>
      <c r="K24" s="234"/>
      <c r="L24" s="217"/>
      <c r="M24" s="217"/>
      <c r="N24" s="217"/>
      <c r="O24" s="217"/>
      <c r="P24" s="217"/>
      <c r="Q24" s="217"/>
      <c r="R24" s="217"/>
      <c r="S24" s="217"/>
      <c r="T24" s="217"/>
      <c r="U24" s="218"/>
      <c r="W24" s="2"/>
      <c r="X24"/>
      <c r="Y24"/>
    </row>
    <row r="25" spans="2:25" s="1" customFormat="1" ht="14.7" customHeight="1" outlineLevel="1" x14ac:dyDescent="0.3">
      <c r="B25" s="202" t="s">
        <v>54</v>
      </c>
      <c r="C25" s="253"/>
      <c r="D25" s="254"/>
      <c r="E25" s="254"/>
      <c r="F25" s="254"/>
      <c r="G25" s="254"/>
      <c r="H25" s="254"/>
      <c r="I25" s="254"/>
      <c r="J25" s="254"/>
      <c r="K25" s="254"/>
      <c r="L25" s="225"/>
      <c r="M25" s="225"/>
      <c r="N25" s="225"/>
      <c r="O25" s="215">
        <v>-100</v>
      </c>
      <c r="P25" s="225"/>
      <c r="Q25" s="225"/>
      <c r="R25" s="225"/>
      <c r="S25" s="225"/>
      <c r="T25" s="225"/>
      <c r="U25" s="226"/>
      <c r="W25" s="2"/>
      <c r="X25"/>
      <c r="Y25"/>
    </row>
    <row r="26" spans="2:25" s="1" customFormat="1" ht="14.7" customHeight="1" outlineLevel="1" x14ac:dyDescent="0.3">
      <c r="B26" s="203" t="s">
        <v>257</v>
      </c>
      <c r="C26" s="227">
        <f>O25*E24</f>
        <v>-8.0000000000000018</v>
      </c>
      <c r="D26" s="228"/>
      <c r="E26" s="228"/>
      <c r="F26" s="228"/>
      <c r="G26" s="228"/>
      <c r="H26" s="228"/>
      <c r="I26" s="228"/>
      <c r="J26" s="228"/>
      <c r="K26" s="228"/>
      <c r="L26" s="251"/>
      <c r="M26" s="251"/>
      <c r="N26" s="251"/>
      <c r="O26" s="251">
        <f>O25-SUM(C26:N26)</f>
        <v>-92</v>
      </c>
      <c r="P26" s="251"/>
      <c r="Q26" s="251"/>
      <c r="R26" s="251"/>
      <c r="S26" s="251"/>
      <c r="T26" s="251"/>
      <c r="U26" s="252"/>
      <c r="W26" s="2"/>
      <c r="X26"/>
      <c r="Y26"/>
    </row>
    <row r="27" spans="2:25" s="1" customFormat="1" ht="14.7" customHeight="1" outlineLevel="1" x14ac:dyDescent="0.3">
      <c r="B27" s="200" t="s">
        <v>254</v>
      </c>
      <c r="C27" s="255"/>
      <c r="D27" s="255"/>
      <c r="E27" s="255"/>
      <c r="F27" s="255"/>
      <c r="G27" s="255"/>
      <c r="H27" s="255"/>
      <c r="I27" s="255"/>
      <c r="J27" s="255"/>
      <c r="K27" s="255"/>
      <c r="L27" s="255"/>
      <c r="M27" s="255"/>
      <c r="N27" s="255"/>
      <c r="O27" s="255"/>
      <c r="P27" s="255"/>
      <c r="Q27" s="255"/>
      <c r="R27" s="255"/>
      <c r="S27" s="255"/>
      <c r="T27" s="255"/>
      <c r="U27" s="259"/>
      <c r="W27" s="2"/>
      <c r="X27"/>
      <c r="Y27"/>
    </row>
    <row r="28" spans="2:25" s="1" customFormat="1" ht="14.7" customHeight="1" x14ac:dyDescent="0.3">
      <c r="B28" s="250" t="s">
        <v>38</v>
      </c>
      <c r="C28" s="219">
        <f t="shared" ref="C28:U28" si="3">SUM(C31,C34)</f>
        <v>-18</v>
      </c>
      <c r="D28" s="220">
        <f t="shared" si="3"/>
        <v>0</v>
      </c>
      <c r="E28" s="220">
        <f t="shared" si="3"/>
        <v>0</v>
      </c>
      <c r="F28" s="220">
        <f>SUM(F31,F34)</f>
        <v>0</v>
      </c>
      <c r="G28" s="220">
        <f t="shared" si="3"/>
        <v>0</v>
      </c>
      <c r="H28" s="220">
        <f t="shared" si="3"/>
        <v>0</v>
      </c>
      <c r="I28" s="220">
        <f t="shared" si="3"/>
        <v>0</v>
      </c>
      <c r="J28" s="220">
        <f t="shared" si="3"/>
        <v>0</v>
      </c>
      <c r="K28" s="220">
        <f t="shared" si="3"/>
        <v>-44</v>
      </c>
      <c r="L28" s="220">
        <f t="shared" si="3"/>
        <v>0</v>
      </c>
      <c r="M28" s="220">
        <f t="shared" si="3"/>
        <v>0</v>
      </c>
      <c r="N28" s="220">
        <f t="shared" si="3"/>
        <v>0</v>
      </c>
      <c r="O28" s="220">
        <f t="shared" si="3"/>
        <v>-88</v>
      </c>
      <c r="P28" s="220">
        <f t="shared" si="3"/>
        <v>0</v>
      </c>
      <c r="Q28" s="220">
        <f t="shared" si="3"/>
        <v>0</v>
      </c>
      <c r="R28" s="220">
        <f t="shared" si="3"/>
        <v>0</v>
      </c>
      <c r="S28" s="220">
        <f t="shared" si="3"/>
        <v>0</v>
      </c>
      <c r="T28" s="220">
        <f t="shared" si="3"/>
        <v>0</v>
      </c>
      <c r="U28" s="221">
        <f t="shared" si="3"/>
        <v>0</v>
      </c>
      <c r="W28" s="2"/>
      <c r="X28"/>
      <c r="Y28"/>
    </row>
    <row r="29" spans="2:25" s="1" customFormat="1" outlineLevel="1" x14ac:dyDescent="0.3">
      <c r="B29" s="200" t="s">
        <v>57</v>
      </c>
      <c r="C29" s="582" t="s">
        <v>256</v>
      </c>
      <c r="D29" s="589"/>
      <c r="E29" s="583">
        <f>E$5*I29</f>
        <v>0.12</v>
      </c>
      <c r="F29" s="584"/>
      <c r="G29" s="585" t="s">
        <v>43</v>
      </c>
      <c r="H29" s="589"/>
      <c r="I29" s="583">
        <v>1.2</v>
      </c>
      <c r="J29" s="584"/>
      <c r="K29" s="231"/>
      <c r="L29" s="232"/>
      <c r="M29" s="232"/>
      <c r="N29" s="232"/>
      <c r="O29" s="232"/>
      <c r="P29" s="232"/>
      <c r="Q29" s="232"/>
      <c r="R29" s="232"/>
      <c r="S29" s="232"/>
      <c r="T29" s="232"/>
      <c r="U29" s="233"/>
      <c r="W29" s="2"/>
      <c r="X29"/>
      <c r="Y29"/>
    </row>
    <row r="30" spans="2:25" s="1" customFormat="1" ht="14.7" customHeight="1" outlineLevel="1" x14ac:dyDescent="0.3">
      <c r="B30" s="202" t="s">
        <v>54</v>
      </c>
      <c r="C30" s="253"/>
      <c r="D30" s="254"/>
      <c r="E30" s="254"/>
      <c r="F30" s="254"/>
      <c r="G30" s="254"/>
      <c r="H30" s="254"/>
      <c r="I30" s="254"/>
      <c r="J30" s="254"/>
      <c r="K30" s="214">
        <v>-50</v>
      </c>
      <c r="L30" s="215"/>
      <c r="M30" s="215"/>
      <c r="N30" s="215"/>
      <c r="O30" s="215"/>
      <c r="P30" s="215"/>
      <c r="Q30" s="215"/>
      <c r="R30" s="215"/>
      <c r="S30" s="215"/>
      <c r="T30" s="215"/>
      <c r="U30" s="216"/>
      <c r="W30" s="2"/>
      <c r="X30"/>
      <c r="Y30"/>
    </row>
    <row r="31" spans="2:25" s="1" customFormat="1" ht="14.7" customHeight="1" outlineLevel="1" x14ac:dyDescent="0.3">
      <c r="B31" s="203" t="s">
        <v>257</v>
      </c>
      <c r="C31" s="227">
        <f>K30*E29</f>
        <v>-6</v>
      </c>
      <c r="D31" s="228"/>
      <c r="E31" s="228"/>
      <c r="F31" s="228"/>
      <c r="G31" s="228"/>
      <c r="H31" s="228"/>
      <c r="I31" s="228"/>
      <c r="J31" s="228"/>
      <c r="K31" s="214">
        <f>K30-SUM(C31:J31)</f>
        <v>-44</v>
      </c>
      <c r="L31" s="215"/>
      <c r="M31" s="215"/>
      <c r="N31" s="215"/>
      <c r="O31" s="215"/>
      <c r="P31" s="215"/>
      <c r="Q31" s="215"/>
      <c r="R31" s="215"/>
      <c r="S31" s="215"/>
      <c r="T31" s="215"/>
      <c r="U31" s="216"/>
      <c r="W31" s="2"/>
      <c r="X31"/>
      <c r="Y31"/>
    </row>
    <row r="32" spans="2:25" s="1" customFormat="1" outlineLevel="1" x14ac:dyDescent="0.3">
      <c r="B32" s="200" t="s">
        <v>58</v>
      </c>
      <c r="C32" s="582" t="s">
        <v>256</v>
      </c>
      <c r="D32" s="589"/>
      <c r="E32" s="583">
        <f>E$8*I32</f>
        <v>0.12</v>
      </c>
      <c r="F32" s="584"/>
      <c r="G32" s="585" t="s">
        <v>43</v>
      </c>
      <c r="H32" s="589"/>
      <c r="I32" s="583">
        <v>1.2</v>
      </c>
      <c r="J32" s="584"/>
      <c r="K32" s="231"/>
      <c r="L32" s="232"/>
      <c r="M32" s="232"/>
      <c r="N32" s="232"/>
      <c r="O32" s="232"/>
      <c r="P32" s="232"/>
      <c r="Q32" s="232"/>
      <c r="R32" s="232"/>
      <c r="S32" s="232"/>
      <c r="T32" s="232"/>
      <c r="U32" s="233"/>
      <c r="W32" s="2"/>
      <c r="X32"/>
      <c r="Y32"/>
    </row>
    <row r="33" spans="2:25" s="1" customFormat="1" ht="14.7" customHeight="1" outlineLevel="1" x14ac:dyDescent="0.3">
      <c r="B33" s="202" t="s">
        <v>54</v>
      </c>
      <c r="C33" s="224"/>
      <c r="D33" s="225"/>
      <c r="E33" s="225"/>
      <c r="F33" s="225"/>
      <c r="G33" s="225"/>
      <c r="H33" s="225"/>
      <c r="I33" s="225"/>
      <c r="J33" s="225"/>
      <c r="K33" s="215"/>
      <c r="L33" s="215"/>
      <c r="M33" s="215"/>
      <c r="N33" s="215"/>
      <c r="O33" s="215">
        <v>-100</v>
      </c>
      <c r="P33" s="215"/>
      <c r="Q33" s="215"/>
      <c r="R33" s="215"/>
      <c r="S33" s="215"/>
      <c r="T33" s="215"/>
      <c r="U33" s="216"/>
      <c r="W33" s="2"/>
      <c r="X33"/>
      <c r="Y33"/>
    </row>
    <row r="34" spans="2:25" s="1" customFormat="1" ht="14.7" customHeight="1" outlineLevel="1" x14ac:dyDescent="0.3">
      <c r="B34" s="203" t="s">
        <v>257</v>
      </c>
      <c r="C34" s="227">
        <f>O33*E32</f>
        <v>-12</v>
      </c>
      <c r="D34" s="228"/>
      <c r="E34" s="228"/>
      <c r="F34" s="228"/>
      <c r="G34" s="228"/>
      <c r="H34" s="228"/>
      <c r="I34" s="228"/>
      <c r="J34" s="228"/>
      <c r="K34" s="228"/>
      <c r="L34" s="228"/>
      <c r="M34" s="228"/>
      <c r="N34" s="228"/>
      <c r="O34" s="251">
        <f>O33-SUM(C34:N34)</f>
        <v>-88</v>
      </c>
      <c r="P34" s="251"/>
      <c r="Q34" s="251"/>
      <c r="R34" s="251"/>
      <c r="S34" s="251"/>
      <c r="T34" s="251"/>
      <c r="U34" s="252"/>
      <c r="W34" s="2"/>
      <c r="X34"/>
      <c r="Y34"/>
    </row>
    <row r="35" spans="2:25" s="1" customFormat="1" ht="14.7" customHeight="1" outlineLevel="1" x14ac:dyDescent="0.3">
      <c r="B35" s="200" t="s">
        <v>254</v>
      </c>
      <c r="C35" s="255"/>
      <c r="D35" s="255"/>
      <c r="E35" s="255"/>
      <c r="F35" s="255"/>
      <c r="G35" s="255"/>
      <c r="H35" s="255"/>
      <c r="I35" s="255"/>
      <c r="J35" s="255"/>
      <c r="K35" s="255"/>
      <c r="L35" s="255"/>
      <c r="M35" s="255"/>
      <c r="N35" s="255"/>
      <c r="O35" s="255"/>
      <c r="P35" s="255"/>
      <c r="Q35" s="255"/>
      <c r="R35" s="255"/>
      <c r="S35" s="255"/>
      <c r="T35" s="255"/>
      <c r="U35" s="259"/>
      <c r="W35" s="2"/>
      <c r="X35"/>
      <c r="Y35"/>
    </row>
    <row r="36" spans="2:25" s="1" customFormat="1" ht="14.7" customHeight="1" x14ac:dyDescent="0.3">
      <c r="B36" s="250" t="s">
        <v>39</v>
      </c>
      <c r="C36" s="219">
        <f t="shared" ref="C36:U36" si="4">SUM(C39,C42)</f>
        <v>-12.000000000000004</v>
      </c>
      <c r="D36" s="220">
        <f t="shared" si="4"/>
        <v>0</v>
      </c>
      <c r="E36" s="220">
        <f t="shared" si="4"/>
        <v>0</v>
      </c>
      <c r="F36" s="220">
        <f t="shared" si="4"/>
        <v>0</v>
      </c>
      <c r="G36" s="220">
        <f t="shared" si="4"/>
        <v>0</v>
      </c>
      <c r="H36" s="220">
        <f t="shared" si="4"/>
        <v>0</v>
      </c>
      <c r="I36" s="220">
        <f t="shared" si="4"/>
        <v>0</v>
      </c>
      <c r="J36" s="220">
        <f t="shared" si="4"/>
        <v>0</v>
      </c>
      <c r="K36" s="220">
        <f t="shared" si="4"/>
        <v>-46</v>
      </c>
      <c r="L36" s="220">
        <f t="shared" si="4"/>
        <v>0</v>
      </c>
      <c r="M36" s="220">
        <f t="shared" si="4"/>
        <v>0</v>
      </c>
      <c r="N36" s="220">
        <f t="shared" si="4"/>
        <v>0</v>
      </c>
      <c r="O36" s="220">
        <f t="shared" si="4"/>
        <v>-92</v>
      </c>
      <c r="P36" s="220">
        <f t="shared" si="4"/>
        <v>0</v>
      </c>
      <c r="Q36" s="220">
        <f t="shared" si="4"/>
        <v>0</v>
      </c>
      <c r="R36" s="220">
        <f t="shared" si="4"/>
        <v>0</v>
      </c>
      <c r="S36" s="220">
        <f t="shared" si="4"/>
        <v>0</v>
      </c>
      <c r="T36" s="220">
        <f t="shared" si="4"/>
        <v>0</v>
      </c>
      <c r="U36" s="221">
        <f t="shared" si="4"/>
        <v>0</v>
      </c>
      <c r="W36" s="2"/>
      <c r="X36"/>
      <c r="Y36"/>
    </row>
    <row r="37" spans="2:25" s="1" customFormat="1" outlineLevel="1" x14ac:dyDescent="0.3">
      <c r="B37" s="200" t="s">
        <v>57</v>
      </c>
      <c r="C37" s="582" t="s">
        <v>256</v>
      </c>
      <c r="D37" s="589"/>
      <c r="E37" s="583">
        <f>E$5*I37</f>
        <v>8.0000000000000016E-2</v>
      </c>
      <c r="F37" s="584"/>
      <c r="G37" s="585" t="s">
        <v>43</v>
      </c>
      <c r="H37" s="589"/>
      <c r="I37" s="583">
        <v>0.8</v>
      </c>
      <c r="J37" s="584"/>
      <c r="K37" s="231"/>
      <c r="L37" s="232"/>
      <c r="M37" s="232"/>
      <c r="N37" s="232"/>
      <c r="O37" s="232"/>
      <c r="P37" s="232"/>
      <c r="Q37" s="232"/>
      <c r="R37" s="232"/>
      <c r="S37" s="232"/>
      <c r="T37" s="232"/>
      <c r="U37" s="233"/>
      <c r="W37" s="2"/>
      <c r="X37"/>
      <c r="Y37"/>
    </row>
    <row r="38" spans="2:25" s="1" customFormat="1" ht="14.7" customHeight="1" outlineLevel="1" x14ac:dyDescent="0.3">
      <c r="B38" s="202" t="s">
        <v>54</v>
      </c>
      <c r="C38" s="253"/>
      <c r="D38" s="254"/>
      <c r="E38" s="254"/>
      <c r="F38" s="254"/>
      <c r="G38" s="254"/>
      <c r="H38" s="254"/>
      <c r="I38" s="254"/>
      <c r="J38" s="254"/>
      <c r="K38" s="254">
        <v>-50</v>
      </c>
      <c r="L38" s="225"/>
      <c r="M38" s="225"/>
      <c r="N38" s="225"/>
      <c r="O38" s="225"/>
      <c r="P38" s="225"/>
      <c r="Q38" s="225"/>
      <c r="R38" s="225"/>
      <c r="S38" s="225"/>
      <c r="T38" s="225"/>
      <c r="U38" s="226"/>
      <c r="W38" s="2"/>
      <c r="X38"/>
      <c r="Y38"/>
    </row>
    <row r="39" spans="2:25" s="1" customFormat="1" ht="14.7" customHeight="1" outlineLevel="1" x14ac:dyDescent="0.3">
      <c r="B39" s="203" t="s">
        <v>257</v>
      </c>
      <c r="C39" s="227">
        <f>K38*E37</f>
        <v>-4.0000000000000009</v>
      </c>
      <c r="D39" s="228"/>
      <c r="E39" s="228"/>
      <c r="F39" s="228"/>
      <c r="G39" s="228"/>
      <c r="H39" s="228"/>
      <c r="I39" s="228"/>
      <c r="J39" s="228"/>
      <c r="K39" s="214">
        <f>K38-SUM(C39:J39)</f>
        <v>-46</v>
      </c>
      <c r="L39" s="215"/>
      <c r="M39" s="215"/>
      <c r="N39" s="215"/>
      <c r="O39" s="215"/>
      <c r="P39" s="215"/>
      <c r="Q39" s="215"/>
      <c r="R39" s="215"/>
      <c r="S39" s="215"/>
      <c r="T39" s="215"/>
      <c r="U39" s="216"/>
      <c r="W39" s="2"/>
      <c r="X39"/>
      <c r="Y39"/>
    </row>
    <row r="40" spans="2:25" s="1" customFormat="1" outlineLevel="1" x14ac:dyDescent="0.3">
      <c r="B40" s="200" t="s">
        <v>58</v>
      </c>
      <c r="C40" s="582" t="s">
        <v>256</v>
      </c>
      <c r="D40" s="589"/>
      <c r="E40" s="583">
        <f>E$8*I40</f>
        <v>8.0000000000000016E-2</v>
      </c>
      <c r="F40" s="584"/>
      <c r="G40" s="585" t="s">
        <v>43</v>
      </c>
      <c r="H40" s="589"/>
      <c r="I40" s="583">
        <v>0.8</v>
      </c>
      <c r="J40" s="584"/>
      <c r="K40" s="231"/>
      <c r="L40" s="232"/>
      <c r="M40" s="232"/>
      <c r="N40" s="232"/>
      <c r="O40" s="232"/>
      <c r="P40" s="232"/>
      <c r="Q40" s="232"/>
      <c r="R40" s="232"/>
      <c r="S40" s="232"/>
      <c r="T40" s="232"/>
      <c r="U40" s="233"/>
      <c r="W40" s="2"/>
      <c r="X40"/>
      <c r="Y40"/>
    </row>
    <row r="41" spans="2:25" s="1" customFormat="1" ht="14.7" customHeight="1" outlineLevel="1" x14ac:dyDescent="0.3">
      <c r="B41" s="202" t="s">
        <v>54</v>
      </c>
      <c r="C41" s="224"/>
      <c r="D41" s="225"/>
      <c r="E41" s="225"/>
      <c r="F41" s="225"/>
      <c r="G41" s="225"/>
      <c r="H41" s="225"/>
      <c r="I41" s="225"/>
      <c r="J41" s="225"/>
      <c r="K41" s="215"/>
      <c r="L41" s="215"/>
      <c r="M41" s="215"/>
      <c r="N41" s="215"/>
      <c r="O41" s="215">
        <v>-100</v>
      </c>
      <c r="P41" s="215"/>
      <c r="Q41" s="215"/>
      <c r="R41" s="215"/>
      <c r="S41" s="215"/>
      <c r="T41" s="215"/>
      <c r="U41" s="216"/>
      <c r="W41" s="2"/>
      <c r="X41"/>
      <c r="Y41"/>
    </row>
    <row r="42" spans="2:25" s="1" customFormat="1" ht="14.7" customHeight="1" outlineLevel="1" x14ac:dyDescent="0.3">
      <c r="B42" s="203" t="s">
        <v>257</v>
      </c>
      <c r="C42" s="227">
        <f>O41*E40</f>
        <v>-8.0000000000000018</v>
      </c>
      <c r="D42" s="228"/>
      <c r="E42" s="228"/>
      <c r="F42" s="228"/>
      <c r="G42" s="228"/>
      <c r="H42" s="228"/>
      <c r="I42" s="228"/>
      <c r="J42" s="228"/>
      <c r="K42" s="228"/>
      <c r="L42" s="228"/>
      <c r="M42" s="228"/>
      <c r="N42" s="228"/>
      <c r="O42" s="251">
        <f>O41-SUM(C42:N42)</f>
        <v>-92</v>
      </c>
      <c r="P42" s="251"/>
      <c r="Q42" s="251"/>
      <c r="R42" s="251"/>
      <c r="S42" s="251"/>
      <c r="T42" s="251"/>
      <c r="U42" s="252"/>
      <c r="W42" s="2"/>
      <c r="X42"/>
      <c r="Y42"/>
    </row>
    <row r="43" spans="2:25" s="1" customFormat="1" ht="14.7" customHeight="1" outlineLevel="1" x14ac:dyDescent="0.3">
      <c r="B43" s="200" t="s">
        <v>254</v>
      </c>
      <c r="C43" s="222"/>
      <c r="D43" s="222"/>
      <c r="E43" s="222"/>
      <c r="F43" s="222"/>
      <c r="G43" s="222"/>
      <c r="H43" s="222"/>
      <c r="I43" s="222"/>
      <c r="J43" s="222"/>
      <c r="K43" s="222"/>
      <c r="L43" s="222"/>
      <c r="M43" s="222"/>
      <c r="N43" s="222"/>
      <c r="O43" s="222"/>
      <c r="P43" s="222"/>
      <c r="Q43" s="222"/>
      <c r="R43" s="222"/>
      <c r="S43" s="222"/>
      <c r="T43" s="222"/>
      <c r="U43" s="223"/>
      <c r="W43" s="2"/>
      <c r="X43"/>
      <c r="Y43"/>
    </row>
    <row r="44" spans="2:25" s="1" customFormat="1" ht="14.7" customHeight="1" x14ac:dyDescent="0.3">
      <c r="B44" s="250" t="s">
        <v>33</v>
      </c>
      <c r="C44" s="219">
        <f t="shared" ref="C44:U44" si="5">SUM(C47,C50)</f>
        <v>-12.000000000000004</v>
      </c>
      <c r="D44" s="220">
        <f t="shared" si="5"/>
        <v>0</v>
      </c>
      <c r="E44" s="220">
        <f t="shared" si="5"/>
        <v>0</v>
      </c>
      <c r="F44" s="220">
        <f t="shared" si="5"/>
        <v>0</v>
      </c>
      <c r="G44" s="220">
        <f t="shared" si="5"/>
        <v>0</v>
      </c>
      <c r="H44" s="220">
        <f t="shared" si="5"/>
        <v>0</v>
      </c>
      <c r="I44" s="220">
        <f t="shared" si="5"/>
        <v>0</v>
      </c>
      <c r="J44" s="220">
        <f t="shared" si="5"/>
        <v>0</v>
      </c>
      <c r="K44" s="220">
        <f t="shared" si="5"/>
        <v>-46</v>
      </c>
      <c r="L44" s="220">
        <f t="shared" si="5"/>
        <v>0</v>
      </c>
      <c r="M44" s="220">
        <f t="shared" si="5"/>
        <v>0</v>
      </c>
      <c r="N44" s="220">
        <f t="shared" si="5"/>
        <v>0</v>
      </c>
      <c r="O44" s="546">
        <f t="shared" si="5"/>
        <v>-92</v>
      </c>
      <c r="P44" s="220">
        <f t="shared" si="5"/>
        <v>0</v>
      </c>
      <c r="Q44" s="220">
        <f t="shared" si="5"/>
        <v>0</v>
      </c>
      <c r="R44" s="220">
        <f t="shared" si="5"/>
        <v>0</v>
      </c>
      <c r="S44" s="220">
        <f t="shared" si="5"/>
        <v>0</v>
      </c>
      <c r="T44" s="220">
        <f t="shared" si="5"/>
        <v>0</v>
      </c>
      <c r="U44" s="221">
        <f t="shared" si="5"/>
        <v>0</v>
      </c>
      <c r="W44" s="2"/>
      <c r="X44"/>
      <c r="Y44"/>
    </row>
    <row r="45" spans="2:25" s="1" customFormat="1" outlineLevel="1" x14ac:dyDescent="0.3">
      <c r="B45" s="200" t="s">
        <v>57</v>
      </c>
      <c r="C45" s="582" t="s">
        <v>256</v>
      </c>
      <c r="D45" s="589"/>
      <c r="E45" s="583">
        <f>E$5*I45</f>
        <v>8.0000000000000016E-2</v>
      </c>
      <c r="F45" s="584"/>
      <c r="G45" s="585" t="s">
        <v>43</v>
      </c>
      <c r="H45" s="589"/>
      <c r="I45" s="583">
        <v>0.8</v>
      </c>
      <c r="J45" s="584"/>
      <c r="K45" s="231"/>
      <c r="L45" s="232"/>
      <c r="M45" s="232"/>
      <c r="N45" s="232"/>
      <c r="O45" s="232"/>
      <c r="P45" s="232"/>
      <c r="Q45" s="232"/>
      <c r="R45" s="232"/>
      <c r="S45" s="232"/>
      <c r="T45" s="232"/>
      <c r="U45" s="233"/>
      <c r="W45" s="2"/>
      <c r="X45"/>
      <c r="Y45"/>
    </row>
    <row r="46" spans="2:25" s="1" customFormat="1" ht="14.7" customHeight="1" outlineLevel="1" x14ac:dyDescent="0.3">
      <c r="B46" s="202" t="s">
        <v>54</v>
      </c>
      <c r="C46" s="253"/>
      <c r="D46" s="254"/>
      <c r="E46" s="254"/>
      <c r="F46" s="254"/>
      <c r="G46" s="254"/>
      <c r="H46" s="254"/>
      <c r="I46" s="254"/>
      <c r="J46" s="254"/>
      <c r="K46" s="254">
        <v>-50</v>
      </c>
      <c r="L46" s="225"/>
      <c r="M46" s="225"/>
      <c r="N46" s="225"/>
      <c r="O46" s="225"/>
      <c r="P46" s="225"/>
      <c r="Q46" s="225"/>
      <c r="R46" s="225"/>
      <c r="S46" s="225"/>
      <c r="T46" s="225"/>
      <c r="U46" s="226"/>
      <c r="W46" s="2"/>
      <c r="X46"/>
      <c r="Y46"/>
    </row>
    <row r="47" spans="2:25" s="1" customFormat="1" ht="14.7" customHeight="1" outlineLevel="1" x14ac:dyDescent="0.3">
      <c r="B47" s="203" t="s">
        <v>257</v>
      </c>
      <c r="C47" s="227">
        <f>K46*E45</f>
        <v>-4.0000000000000009</v>
      </c>
      <c r="D47" s="228"/>
      <c r="E47" s="228"/>
      <c r="F47" s="228"/>
      <c r="G47" s="228"/>
      <c r="H47" s="228"/>
      <c r="I47" s="228"/>
      <c r="J47" s="228"/>
      <c r="K47" s="228">
        <f>K46-SUM(C47:J47)</f>
        <v>-46</v>
      </c>
      <c r="L47" s="251"/>
      <c r="M47" s="251"/>
      <c r="N47" s="251"/>
      <c r="O47" s="251"/>
      <c r="P47" s="251"/>
      <c r="Q47" s="251"/>
      <c r="R47" s="251"/>
      <c r="S47" s="251"/>
      <c r="T47" s="251"/>
      <c r="U47" s="252"/>
      <c r="W47" s="2"/>
      <c r="X47"/>
      <c r="Y47"/>
    </row>
    <row r="48" spans="2:25" s="1" customFormat="1" outlineLevel="1" x14ac:dyDescent="0.3">
      <c r="B48" s="200" t="s">
        <v>58</v>
      </c>
      <c r="C48" s="590" t="s">
        <v>256</v>
      </c>
      <c r="D48" s="591"/>
      <c r="E48" s="587">
        <f>E$8*I48</f>
        <v>8.0000000000000016E-2</v>
      </c>
      <c r="F48" s="588"/>
      <c r="G48" s="592" t="s">
        <v>43</v>
      </c>
      <c r="H48" s="591"/>
      <c r="I48" s="587">
        <v>0.8</v>
      </c>
      <c r="J48" s="588"/>
      <c r="K48" s="222"/>
      <c r="L48" s="222"/>
      <c r="M48" s="222"/>
      <c r="N48" s="222"/>
      <c r="O48" s="222"/>
      <c r="P48" s="222"/>
      <c r="Q48" s="222"/>
      <c r="R48" s="222"/>
      <c r="S48" s="222"/>
      <c r="T48" s="222"/>
      <c r="U48" s="223"/>
      <c r="W48" s="2"/>
      <c r="X48"/>
      <c r="Y48"/>
    </row>
    <row r="49" spans="2:25" s="1" customFormat="1" ht="14.7" customHeight="1" outlineLevel="1" x14ac:dyDescent="0.3">
      <c r="B49" s="202" t="s">
        <v>54</v>
      </c>
      <c r="C49" s="224"/>
      <c r="D49" s="225"/>
      <c r="E49" s="225"/>
      <c r="F49" s="225"/>
      <c r="G49" s="225"/>
      <c r="H49" s="225"/>
      <c r="I49" s="225"/>
      <c r="J49" s="225"/>
      <c r="K49" s="225"/>
      <c r="L49" s="225"/>
      <c r="M49" s="225"/>
      <c r="N49" s="225"/>
      <c r="O49" s="225">
        <v>-100</v>
      </c>
      <c r="P49" s="225"/>
      <c r="Q49" s="225"/>
      <c r="R49" s="225"/>
      <c r="S49" s="225"/>
      <c r="T49" s="225"/>
      <c r="U49" s="226"/>
      <c r="W49" s="2"/>
      <c r="X49"/>
      <c r="Y49"/>
    </row>
    <row r="50" spans="2:25" s="1" customFormat="1" ht="14.7" customHeight="1" outlineLevel="1" x14ac:dyDescent="0.3">
      <c r="B50" s="203" t="s">
        <v>257</v>
      </c>
      <c r="C50" s="227">
        <f>O49*E48</f>
        <v>-8.0000000000000018</v>
      </c>
      <c r="D50" s="228"/>
      <c r="E50" s="228"/>
      <c r="F50" s="228"/>
      <c r="G50" s="228"/>
      <c r="H50" s="228"/>
      <c r="I50" s="228"/>
      <c r="J50" s="228"/>
      <c r="K50" s="228"/>
      <c r="L50" s="228"/>
      <c r="M50" s="228"/>
      <c r="N50" s="228"/>
      <c r="O50" s="251">
        <f>O49-SUM(C50:N50)</f>
        <v>-92</v>
      </c>
      <c r="P50" s="251"/>
      <c r="Q50" s="251"/>
      <c r="R50" s="251"/>
      <c r="S50" s="251"/>
      <c r="T50" s="251"/>
      <c r="U50" s="252"/>
      <c r="W50" s="2"/>
      <c r="X50"/>
      <c r="Y50"/>
    </row>
    <row r="51" spans="2:25" s="1" customFormat="1" ht="14.7" customHeight="1" outlineLevel="1" x14ac:dyDescent="0.3">
      <c r="B51" s="200" t="s">
        <v>254</v>
      </c>
      <c r="C51" s="222"/>
      <c r="D51" s="222"/>
      <c r="E51" s="222"/>
      <c r="F51" s="222"/>
      <c r="G51" s="222"/>
      <c r="H51" s="222"/>
      <c r="I51" s="222"/>
      <c r="J51" s="222"/>
      <c r="K51" s="222"/>
      <c r="L51" s="222"/>
      <c r="M51" s="222"/>
      <c r="N51" s="222"/>
      <c r="O51" s="222"/>
      <c r="P51" s="222"/>
      <c r="Q51" s="222"/>
      <c r="R51" s="222"/>
      <c r="S51" s="222"/>
      <c r="T51" s="222"/>
      <c r="U51" s="223"/>
      <c r="W51" s="2"/>
      <c r="X51"/>
      <c r="Y51"/>
    </row>
    <row r="52" spans="2:25" s="1" customFormat="1" ht="14.7" customHeight="1" x14ac:dyDescent="0.3">
      <c r="B52" s="250" t="s">
        <v>15</v>
      </c>
      <c r="C52" s="219">
        <f t="shared" ref="C52:U52" si="6">SUM(C55,C58)</f>
        <v>-18</v>
      </c>
      <c r="D52" s="220">
        <f>SUM(D55,D58)</f>
        <v>0</v>
      </c>
      <c r="E52" s="220">
        <f t="shared" si="6"/>
        <v>0</v>
      </c>
      <c r="F52" s="220">
        <f t="shared" si="6"/>
        <v>0</v>
      </c>
      <c r="G52" s="220">
        <f t="shared" si="6"/>
        <v>0</v>
      </c>
      <c r="H52" s="220">
        <f t="shared" si="6"/>
        <v>0</v>
      </c>
      <c r="I52" s="220">
        <f t="shared" si="6"/>
        <v>0</v>
      </c>
      <c r="J52" s="220">
        <f t="shared" si="6"/>
        <v>0</v>
      </c>
      <c r="K52" s="220">
        <f t="shared" si="6"/>
        <v>-44</v>
      </c>
      <c r="L52" s="220">
        <f t="shared" si="6"/>
        <v>0</v>
      </c>
      <c r="M52" s="220">
        <f t="shared" si="6"/>
        <v>0</v>
      </c>
      <c r="N52" s="220">
        <f t="shared" si="6"/>
        <v>0</v>
      </c>
      <c r="O52" s="220">
        <f t="shared" si="6"/>
        <v>-88</v>
      </c>
      <c r="P52" s="220">
        <f t="shared" si="6"/>
        <v>0</v>
      </c>
      <c r="Q52" s="220">
        <f t="shared" si="6"/>
        <v>0</v>
      </c>
      <c r="R52" s="220">
        <f t="shared" si="6"/>
        <v>0</v>
      </c>
      <c r="S52" s="220">
        <f t="shared" si="6"/>
        <v>0</v>
      </c>
      <c r="T52" s="220">
        <f t="shared" si="6"/>
        <v>0</v>
      </c>
      <c r="U52" s="221">
        <f t="shared" si="6"/>
        <v>0</v>
      </c>
      <c r="W52" s="2"/>
      <c r="X52"/>
      <c r="Y52"/>
    </row>
    <row r="53" spans="2:25" s="1" customFormat="1" outlineLevel="1" x14ac:dyDescent="0.3">
      <c r="B53" s="200" t="s">
        <v>57</v>
      </c>
      <c r="C53" s="585" t="s">
        <v>256</v>
      </c>
      <c r="D53" s="589"/>
      <c r="E53" s="583">
        <f>E$5*I53</f>
        <v>0.12</v>
      </c>
      <c r="F53" s="584"/>
      <c r="G53" s="585" t="s">
        <v>43</v>
      </c>
      <c r="H53" s="589"/>
      <c r="I53" s="583">
        <v>1.2</v>
      </c>
      <c r="J53" s="584"/>
      <c r="K53" s="232"/>
      <c r="L53" s="232"/>
      <c r="M53" s="232"/>
      <c r="N53" s="232"/>
      <c r="O53" s="232"/>
      <c r="P53" s="232"/>
      <c r="Q53" s="232"/>
      <c r="R53" s="232"/>
      <c r="S53" s="232"/>
      <c r="T53" s="232"/>
      <c r="U53" s="233"/>
      <c r="W53" s="2"/>
      <c r="X53"/>
      <c r="Y53"/>
    </row>
    <row r="54" spans="2:25" s="1" customFormat="1" ht="14.7" customHeight="1" outlineLevel="1" x14ac:dyDescent="0.3">
      <c r="B54" s="202" t="s">
        <v>54</v>
      </c>
      <c r="C54" s="215"/>
      <c r="D54" s="215"/>
      <c r="E54" s="215"/>
      <c r="F54" s="215"/>
      <c r="G54" s="215"/>
      <c r="H54" s="215"/>
      <c r="I54" s="215"/>
      <c r="J54" s="215"/>
      <c r="K54" s="215">
        <v>-50</v>
      </c>
      <c r="L54" s="215"/>
      <c r="M54" s="215"/>
      <c r="N54" s="215"/>
      <c r="O54" s="215"/>
      <c r="P54" s="215"/>
      <c r="Q54" s="215"/>
      <c r="R54" s="215"/>
      <c r="S54" s="215"/>
      <c r="T54" s="215"/>
      <c r="U54" s="216"/>
      <c r="W54" s="2"/>
      <c r="X54"/>
      <c r="Y54"/>
    </row>
    <row r="55" spans="2:25" s="1" customFormat="1" ht="14.7" customHeight="1" outlineLevel="1" x14ac:dyDescent="0.3">
      <c r="B55" s="203" t="s">
        <v>257</v>
      </c>
      <c r="C55" s="214">
        <f>K54*E53</f>
        <v>-6</v>
      </c>
      <c r="D55" s="215"/>
      <c r="E55" s="215"/>
      <c r="F55" s="215"/>
      <c r="G55" s="215"/>
      <c r="H55" s="215"/>
      <c r="I55" s="215"/>
      <c r="J55" s="215"/>
      <c r="K55" s="215">
        <f>K54-SUM(C55:J55)</f>
        <v>-44</v>
      </c>
      <c r="L55" s="215"/>
      <c r="M55" s="215"/>
      <c r="N55" s="215"/>
      <c r="O55" s="215"/>
      <c r="P55" s="215"/>
      <c r="Q55" s="215"/>
      <c r="R55" s="215"/>
      <c r="S55" s="215"/>
      <c r="T55" s="215"/>
      <c r="U55" s="216"/>
      <c r="W55" s="2"/>
      <c r="X55"/>
      <c r="Y55"/>
    </row>
    <row r="56" spans="2:25" s="1" customFormat="1" outlineLevel="1" x14ac:dyDescent="0.3">
      <c r="B56" s="200" t="s">
        <v>58</v>
      </c>
      <c r="C56" s="585" t="s">
        <v>256</v>
      </c>
      <c r="D56" s="589"/>
      <c r="E56" s="583">
        <f>E$8*I56</f>
        <v>0.12</v>
      </c>
      <c r="F56" s="584"/>
      <c r="G56" s="585" t="s">
        <v>43</v>
      </c>
      <c r="H56" s="589"/>
      <c r="I56" s="583">
        <v>1.2</v>
      </c>
      <c r="J56" s="584"/>
      <c r="K56" s="232"/>
      <c r="L56" s="232"/>
      <c r="M56" s="232"/>
      <c r="N56" s="232"/>
      <c r="O56" s="232"/>
      <c r="P56" s="232"/>
      <c r="Q56" s="232"/>
      <c r="R56" s="232"/>
      <c r="S56" s="232"/>
      <c r="T56" s="232"/>
      <c r="U56" s="233"/>
      <c r="W56" s="2"/>
      <c r="X56"/>
      <c r="Y56"/>
    </row>
    <row r="57" spans="2:25" s="1" customFormat="1" ht="14.7" customHeight="1" outlineLevel="1" x14ac:dyDescent="0.3">
      <c r="B57" s="202" t="s">
        <v>54</v>
      </c>
      <c r="C57" s="224"/>
      <c r="D57" s="225"/>
      <c r="E57" s="225"/>
      <c r="F57" s="225"/>
      <c r="G57" s="225"/>
      <c r="H57" s="225"/>
      <c r="I57" s="225"/>
      <c r="J57" s="225"/>
      <c r="K57" s="225"/>
      <c r="L57" s="225"/>
      <c r="M57" s="225"/>
      <c r="N57" s="225"/>
      <c r="O57" s="225">
        <v>-100</v>
      </c>
      <c r="P57" s="225"/>
      <c r="Q57" s="225"/>
      <c r="R57" s="225"/>
      <c r="S57" s="225"/>
      <c r="T57" s="225"/>
      <c r="U57" s="226"/>
      <c r="W57" s="2"/>
      <c r="X57"/>
      <c r="Y57"/>
    </row>
    <row r="58" spans="2:25" s="1" customFormat="1" ht="14.7" customHeight="1" outlineLevel="1" x14ac:dyDescent="0.3">
      <c r="B58" s="203" t="s">
        <v>257</v>
      </c>
      <c r="C58" s="227">
        <f>O57*E56</f>
        <v>-12</v>
      </c>
      <c r="D58" s="228"/>
      <c r="E58" s="228"/>
      <c r="F58" s="228"/>
      <c r="G58" s="228"/>
      <c r="H58" s="228"/>
      <c r="I58" s="228"/>
      <c r="J58" s="228"/>
      <c r="K58" s="228"/>
      <c r="L58" s="228"/>
      <c r="M58" s="228"/>
      <c r="N58" s="228"/>
      <c r="O58" s="251">
        <f>O57-SUM(C58:N58)</f>
        <v>-88</v>
      </c>
      <c r="P58" s="251"/>
      <c r="Q58" s="251"/>
      <c r="R58" s="251"/>
      <c r="S58" s="251"/>
      <c r="T58" s="251"/>
      <c r="U58" s="252"/>
      <c r="W58" s="2"/>
      <c r="X58"/>
      <c r="Y58"/>
    </row>
    <row r="59" spans="2:25" s="1" customFormat="1" ht="14.7" customHeight="1" outlineLevel="1" x14ac:dyDescent="0.3">
      <c r="B59" s="200" t="s">
        <v>254</v>
      </c>
      <c r="C59" s="227"/>
      <c r="D59" s="228"/>
      <c r="E59" s="228"/>
      <c r="F59" s="228"/>
      <c r="G59" s="228"/>
      <c r="H59" s="228"/>
      <c r="I59" s="228"/>
      <c r="J59" s="228"/>
      <c r="K59" s="228"/>
      <c r="L59" s="228"/>
      <c r="M59" s="228"/>
      <c r="N59" s="228"/>
      <c r="O59" s="228"/>
      <c r="P59" s="228"/>
      <c r="Q59" s="228"/>
      <c r="R59" s="228"/>
      <c r="S59" s="228"/>
      <c r="T59" s="228"/>
      <c r="U59" s="229"/>
      <c r="W59" s="2"/>
      <c r="X59"/>
      <c r="Y59"/>
    </row>
    <row r="60" spans="2:25" s="1" customFormat="1" ht="14.7" customHeight="1" x14ac:dyDescent="0.3">
      <c r="W60" s="2"/>
      <c r="X60"/>
      <c r="Y60"/>
    </row>
  </sheetData>
  <sheetProtection algorithmName="SHA-512" hashValue="LeGHOIsxk+PFt0+89icJ0qaieniDjA0JE1n/kdyLGVgc6a5lk19o2sjU0AUMUP4ClfSw9hs6ZZO8F9MClL5sLg==" saltValue="PjNGDT6Oi4xWUFzTfTmqfQ==" spinCount="100000" sheet="1" objects="1" scenarios="1"/>
  <mergeCells count="53">
    <mergeCell ref="C5:D5"/>
    <mergeCell ref="E5:F5"/>
    <mergeCell ref="C8:D8"/>
    <mergeCell ref="E8:F8"/>
    <mergeCell ref="C13:D13"/>
    <mergeCell ref="E13:F13"/>
    <mergeCell ref="G13:H13"/>
    <mergeCell ref="I13:J13"/>
    <mergeCell ref="C16:D16"/>
    <mergeCell ref="E16:F16"/>
    <mergeCell ref="G16:H16"/>
    <mergeCell ref="I16:J16"/>
    <mergeCell ref="C21:D21"/>
    <mergeCell ref="E21:F21"/>
    <mergeCell ref="G21:H21"/>
    <mergeCell ref="I21:J21"/>
    <mergeCell ref="C24:D24"/>
    <mergeCell ref="E24:F24"/>
    <mergeCell ref="G24:H24"/>
    <mergeCell ref="I24:J24"/>
    <mergeCell ref="I29:J29"/>
    <mergeCell ref="C32:D32"/>
    <mergeCell ref="E32:F32"/>
    <mergeCell ref="G32:H32"/>
    <mergeCell ref="I32:J32"/>
    <mergeCell ref="C56:D56"/>
    <mergeCell ref="E56:F56"/>
    <mergeCell ref="G56:H56"/>
    <mergeCell ref="I56:J56"/>
    <mergeCell ref="C45:D45"/>
    <mergeCell ref="E45:F45"/>
    <mergeCell ref="G45:H45"/>
    <mergeCell ref="I45:J45"/>
    <mergeCell ref="C48:D48"/>
    <mergeCell ref="E48:F48"/>
    <mergeCell ref="G48:H48"/>
    <mergeCell ref="I48:J48"/>
    <mergeCell ref="B1:L1"/>
    <mergeCell ref="C53:D53"/>
    <mergeCell ref="E53:F53"/>
    <mergeCell ref="G53:H53"/>
    <mergeCell ref="I53:J53"/>
    <mergeCell ref="C37:D37"/>
    <mergeCell ref="E37:F37"/>
    <mergeCell ref="G37:H37"/>
    <mergeCell ref="I37:J37"/>
    <mergeCell ref="C40:D40"/>
    <mergeCell ref="E40:F40"/>
    <mergeCell ref="G40:H40"/>
    <mergeCell ref="I40:J40"/>
    <mergeCell ref="C29:D29"/>
    <mergeCell ref="E29:F29"/>
    <mergeCell ref="G29:H2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D0127-212E-4034-AB03-220157146C8E}">
  <sheetPr>
    <tabColor rgb="FFE0B6B2"/>
    <outlinePr summaryBelow="0" summaryRight="0"/>
  </sheetPr>
  <dimension ref="A1:X89"/>
  <sheetViews>
    <sheetView showGridLines="0" zoomScaleNormal="100" workbookViewId="0">
      <selection activeCell="B1" sqref="B1:Q1"/>
    </sheetView>
  </sheetViews>
  <sheetFormatPr defaultColWidth="10.6640625" defaultRowHeight="14.4" outlineLevelRow="2" x14ac:dyDescent="0.3"/>
  <cols>
    <col min="1" max="1" width="2.6640625" style="1" customWidth="1"/>
    <col min="2" max="2" width="54.5546875" style="1" customWidth="1"/>
    <col min="3" max="11" width="10.6640625" style="1"/>
    <col min="12" max="14" width="10.6640625" style="6"/>
    <col min="15" max="15" width="9.88671875" customWidth="1"/>
  </cols>
  <sheetData>
    <row r="1" spans="1:23" ht="298.2" customHeight="1" x14ac:dyDescent="0.3">
      <c r="B1" s="608" t="s">
        <v>268</v>
      </c>
      <c r="C1" s="609"/>
      <c r="D1" s="609"/>
      <c r="E1" s="609"/>
      <c r="F1" s="609"/>
      <c r="G1" s="609"/>
      <c r="H1" s="609"/>
      <c r="I1" s="609"/>
      <c r="J1" s="609"/>
      <c r="K1" s="609"/>
      <c r="L1" s="609"/>
      <c r="M1" s="609"/>
      <c r="N1" s="609"/>
      <c r="O1" s="609"/>
      <c r="P1" s="609"/>
      <c r="Q1" s="610"/>
    </row>
    <row r="2" spans="1:23" ht="15" customHeight="1" x14ac:dyDescent="0.3">
      <c r="B2" s="510" t="s">
        <v>198</v>
      </c>
      <c r="C2" s="611" t="s">
        <v>197</v>
      </c>
      <c r="D2" s="611"/>
      <c r="E2" s="611"/>
      <c r="F2" s="611"/>
      <c r="G2" s="611"/>
      <c r="H2" s="611"/>
      <c r="I2" s="611"/>
      <c r="J2" s="612"/>
      <c r="L2" s="613"/>
      <c r="M2" s="613"/>
      <c r="N2" s="613"/>
      <c r="O2" s="613"/>
      <c r="P2" s="613"/>
    </row>
    <row r="3" spans="1:23" ht="15" customHeight="1" x14ac:dyDescent="0.3">
      <c r="B3" s="511" t="s">
        <v>199</v>
      </c>
      <c r="C3" s="54">
        <v>500</v>
      </c>
      <c r="D3" s="53" t="s">
        <v>241</v>
      </c>
      <c r="L3" s="614"/>
      <c r="M3" s="614"/>
      <c r="N3" s="614"/>
      <c r="O3" s="614"/>
    </row>
    <row r="4" spans="1:23" ht="15" customHeight="1" x14ac:dyDescent="0.3">
      <c r="B4" s="511" t="s">
        <v>201</v>
      </c>
      <c r="C4" s="54">
        <v>300</v>
      </c>
      <c r="D4" s="53" t="s">
        <v>241</v>
      </c>
    </row>
    <row r="5" spans="1:23" ht="15" customHeight="1" x14ac:dyDescent="0.3">
      <c r="B5" s="511" t="s">
        <v>200</v>
      </c>
      <c r="C5" s="54">
        <v>500</v>
      </c>
      <c r="D5" s="53"/>
    </row>
    <row r="6" spans="1:23" ht="14.7" customHeight="1" x14ac:dyDescent="0.3"/>
    <row r="7" spans="1:23" ht="14.7" customHeight="1" x14ac:dyDescent="0.3"/>
    <row r="8" spans="1:23" ht="44.4" customHeight="1" x14ac:dyDescent="0.3">
      <c r="B8" s="483" t="s">
        <v>189</v>
      </c>
      <c r="C8" s="247" t="s">
        <v>0</v>
      </c>
      <c r="D8" s="247" t="s">
        <v>51</v>
      </c>
      <c r="E8" s="248" t="s">
        <v>3</v>
      </c>
      <c r="F8" s="247" t="s">
        <v>4</v>
      </c>
      <c r="G8" s="248" t="s">
        <v>5</v>
      </c>
      <c r="H8" s="248" t="s">
        <v>6</v>
      </c>
      <c r="I8" s="247" t="s">
        <v>19</v>
      </c>
      <c r="J8" s="248" t="s">
        <v>20</v>
      </c>
      <c r="K8" s="247" t="s">
        <v>21</v>
      </c>
      <c r="L8" s="247" t="s">
        <v>22</v>
      </c>
      <c r="M8" s="247" t="s">
        <v>23</v>
      </c>
      <c r="N8" s="247" t="s">
        <v>24</v>
      </c>
      <c r="O8" s="247" t="s">
        <v>25</v>
      </c>
      <c r="P8" s="247" t="s">
        <v>26</v>
      </c>
      <c r="Q8" s="247" t="s">
        <v>27</v>
      </c>
      <c r="R8" s="248" t="s">
        <v>28</v>
      </c>
      <c r="S8" s="247" t="s">
        <v>29</v>
      </c>
      <c r="T8" s="247" t="s">
        <v>30</v>
      </c>
      <c r="U8" s="249" t="s">
        <v>31</v>
      </c>
    </row>
    <row r="9" spans="1:23" ht="21.75" customHeight="1" x14ac:dyDescent="0.3">
      <c r="B9" s="464" t="s">
        <v>202</v>
      </c>
      <c r="C9" s="52">
        <v>2.8E-3</v>
      </c>
      <c r="D9" s="52">
        <v>4.1700000000000001E-2</v>
      </c>
      <c r="E9" s="52">
        <v>0.16669999999999999</v>
      </c>
      <c r="F9" s="52">
        <v>0.375</v>
      </c>
      <c r="G9" s="52">
        <v>0.625</v>
      </c>
      <c r="H9" s="52">
        <v>0.875</v>
      </c>
      <c r="I9" s="51">
        <v>1.25</v>
      </c>
      <c r="J9" s="51">
        <v>1.75</v>
      </c>
      <c r="K9" s="51">
        <v>2.5</v>
      </c>
      <c r="L9" s="51">
        <v>3.5</v>
      </c>
      <c r="M9" s="51">
        <v>4.5</v>
      </c>
      <c r="N9" s="51">
        <v>5.5</v>
      </c>
      <c r="O9" s="51">
        <v>6.5</v>
      </c>
      <c r="P9" s="50">
        <v>7.5</v>
      </c>
      <c r="Q9" s="50">
        <v>8.5</v>
      </c>
      <c r="R9" s="50">
        <v>9.5</v>
      </c>
      <c r="S9" s="50">
        <v>12.5</v>
      </c>
      <c r="T9" s="50">
        <v>17.5</v>
      </c>
      <c r="U9" s="49">
        <v>25</v>
      </c>
      <c r="V9" s="48"/>
    </row>
    <row r="10" spans="1:23" s="2" customFormat="1" ht="14.7" customHeight="1" x14ac:dyDescent="0.3">
      <c r="A10" s="1"/>
      <c r="B10" s="469" t="s">
        <v>205</v>
      </c>
      <c r="C10" s="470"/>
      <c r="D10" s="471"/>
      <c r="E10" s="471"/>
      <c r="F10" s="471"/>
      <c r="G10" s="471"/>
      <c r="H10" s="471"/>
      <c r="I10" s="472"/>
      <c r="J10" s="472"/>
      <c r="K10" s="470"/>
      <c r="L10" s="471"/>
      <c r="M10" s="471"/>
      <c r="N10" s="470"/>
      <c r="O10" s="471"/>
      <c r="P10" s="471"/>
      <c r="Q10" s="470"/>
      <c r="R10" s="471"/>
      <c r="S10" s="471"/>
      <c r="T10" s="470"/>
      <c r="U10" s="471"/>
    </row>
    <row r="11" spans="1:23" ht="14.7" customHeight="1" outlineLevel="1" x14ac:dyDescent="0.3">
      <c r="B11" s="463" t="s">
        <v>261</v>
      </c>
      <c r="C11" s="564">
        <v>155.5161245533059</v>
      </c>
      <c r="D11" s="564">
        <v>189.43884521143661</v>
      </c>
      <c r="E11" s="564">
        <v>283.72630181193205</v>
      </c>
      <c r="F11" s="564">
        <v>400.31055249970098</v>
      </c>
      <c r="G11" s="564">
        <v>492.06326960232809</v>
      </c>
      <c r="H11" s="564">
        <v>548.81361482823479</v>
      </c>
      <c r="I11" s="564">
        <v>594.22612230778839</v>
      </c>
      <c r="J11" s="564">
        <v>615.96873916492484</v>
      </c>
      <c r="K11" s="564">
        <v>616.80660588209446</v>
      </c>
      <c r="L11" s="564">
        <v>604.75111614094919</v>
      </c>
      <c r="M11" s="564">
        <v>593.6651168392998</v>
      </c>
      <c r="N11" s="564">
        <v>585.81898951418623</v>
      </c>
      <c r="O11" s="564">
        <v>580.65702749516026</v>
      </c>
      <c r="P11" s="564">
        <v>577.45547346313515</v>
      </c>
      <c r="Q11" s="564">
        <v>575.6623644321262</v>
      </c>
      <c r="R11" s="564">
        <v>574.8820922729368</v>
      </c>
      <c r="S11" s="564">
        <v>576.12844718774249</v>
      </c>
      <c r="T11" s="564">
        <v>582.63163164035404</v>
      </c>
      <c r="U11" s="564">
        <v>592.26890897844089</v>
      </c>
    </row>
    <row r="12" spans="1:23" ht="14.7" customHeight="1" outlineLevel="2" x14ac:dyDescent="0.3">
      <c r="B12" s="466" t="s">
        <v>40</v>
      </c>
      <c r="C12" s="47">
        <v>250</v>
      </c>
      <c r="D12" s="47">
        <v>250</v>
      </c>
      <c r="E12" s="47">
        <v>250</v>
      </c>
      <c r="F12" s="47">
        <v>250</v>
      </c>
      <c r="G12" s="47">
        <v>250</v>
      </c>
      <c r="H12" s="47">
        <v>250</v>
      </c>
      <c r="I12" s="47">
        <v>250</v>
      </c>
      <c r="J12" s="47">
        <v>250</v>
      </c>
      <c r="K12" s="47">
        <v>250</v>
      </c>
      <c r="L12" s="47">
        <v>250</v>
      </c>
      <c r="M12" s="47">
        <v>250</v>
      </c>
      <c r="N12" s="47">
        <v>250</v>
      </c>
      <c r="O12" s="47">
        <v>250</v>
      </c>
      <c r="P12" s="47">
        <v>250</v>
      </c>
      <c r="Q12" s="47">
        <v>250</v>
      </c>
      <c r="R12" s="47">
        <v>250</v>
      </c>
      <c r="S12" s="47">
        <v>250</v>
      </c>
      <c r="T12" s="47">
        <v>250</v>
      </c>
      <c r="U12" s="46">
        <v>250</v>
      </c>
      <c r="V12" s="1"/>
      <c r="W12" s="2"/>
    </row>
    <row r="13" spans="1:23" s="2" customFormat="1" ht="14.7" customHeight="1" outlineLevel="2" x14ac:dyDescent="0.3">
      <c r="A13" s="1"/>
      <c r="B13" s="466" t="s">
        <v>41</v>
      </c>
      <c r="C13" s="45">
        <v>-250</v>
      </c>
      <c r="D13" s="45">
        <v>-250</v>
      </c>
      <c r="E13" s="45">
        <v>-250</v>
      </c>
      <c r="F13" s="45">
        <v>-250</v>
      </c>
      <c r="G13" s="45">
        <v>-250</v>
      </c>
      <c r="H13" s="45">
        <v>-250</v>
      </c>
      <c r="I13" s="45">
        <v>-250</v>
      </c>
      <c r="J13" s="45">
        <v>-250</v>
      </c>
      <c r="K13" s="45">
        <v>-250</v>
      </c>
      <c r="L13" s="45">
        <v>-250</v>
      </c>
      <c r="M13" s="45">
        <v>-250</v>
      </c>
      <c r="N13" s="45">
        <v>-250</v>
      </c>
      <c r="O13" s="45">
        <v>-250</v>
      </c>
      <c r="P13" s="45">
        <v>-250</v>
      </c>
      <c r="Q13" s="45">
        <v>-250</v>
      </c>
      <c r="R13" s="45">
        <v>-250</v>
      </c>
      <c r="S13" s="45">
        <v>-250</v>
      </c>
      <c r="T13" s="45">
        <v>-250</v>
      </c>
      <c r="U13" s="44">
        <v>-250</v>
      </c>
      <c r="V13" s="1"/>
    </row>
    <row r="14" spans="1:23" s="2" customFormat="1" ht="14.7" customHeight="1" outlineLevel="2" x14ac:dyDescent="0.3">
      <c r="A14" s="1"/>
      <c r="B14" s="465" t="s">
        <v>38</v>
      </c>
      <c r="C14" s="45">
        <f>350*EXP(-C9/4)</f>
        <v>349.75508572999513</v>
      </c>
      <c r="D14" s="45">
        <f t="shared" ref="D14:U14" si="0">350*EXP(-D9/4)</f>
        <v>346.37020318986214</v>
      </c>
      <c r="E14" s="45">
        <f t="shared" si="0"/>
        <v>335.71351236393855</v>
      </c>
      <c r="F14" s="45">
        <f t="shared" si="0"/>
        <v>318.67862648301195</v>
      </c>
      <c r="G14" s="45">
        <f t="shared" si="0"/>
        <v>299.37086455759788</v>
      </c>
      <c r="H14" s="45">
        <f t="shared" si="0"/>
        <v>281.23290079117129</v>
      </c>
      <c r="I14" s="45">
        <f t="shared" si="0"/>
        <v>256.06547013132462</v>
      </c>
      <c r="J14" s="45">
        <f t="shared" si="0"/>
        <v>225.97698424976221</v>
      </c>
      <c r="K14" s="45">
        <f t="shared" si="0"/>
        <v>187.34149998164659</v>
      </c>
      <c r="L14" s="45">
        <f t="shared" si="0"/>
        <v>145.90170688747793</v>
      </c>
      <c r="M14" s="45">
        <f t="shared" si="0"/>
        <v>113.62836357542241</v>
      </c>
      <c r="N14" s="45">
        <f t="shared" si="0"/>
        <v>88.49385853166126</v>
      </c>
      <c r="O14" s="45">
        <f t="shared" si="0"/>
        <v>68.919086321467915</v>
      </c>
      <c r="P14" s="45">
        <f t="shared" si="0"/>
        <v>53.674238395724963</v>
      </c>
      <c r="Q14" s="45">
        <f t="shared" si="0"/>
        <v>41.801538893351868</v>
      </c>
      <c r="R14" s="45">
        <f t="shared" si="0"/>
        <v>32.55507122373222</v>
      </c>
      <c r="S14" s="45">
        <f t="shared" si="0"/>
        <v>15.377926768192598</v>
      </c>
      <c r="T14" s="45">
        <f t="shared" si="0"/>
        <v>4.4058497848518998</v>
      </c>
      <c r="U14" s="44">
        <f t="shared" si="0"/>
        <v>0.67565894767969825</v>
      </c>
      <c r="V14" s="1"/>
    </row>
    <row r="15" spans="1:23" s="2" customFormat="1" ht="14.7" customHeight="1" outlineLevel="2" x14ac:dyDescent="0.3">
      <c r="A15" s="1"/>
      <c r="B15" s="465" t="s">
        <v>39</v>
      </c>
      <c r="C15" s="45">
        <f t="shared" ref="C15:U15" si="1">-350*EXP(-C9/4)</f>
        <v>-349.75508572999513</v>
      </c>
      <c r="D15" s="45">
        <f t="shared" si="1"/>
        <v>-346.37020318986214</v>
      </c>
      <c r="E15" s="45">
        <f t="shared" si="1"/>
        <v>-335.71351236393855</v>
      </c>
      <c r="F15" s="45">
        <f t="shared" si="1"/>
        <v>-318.67862648301195</v>
      </c>
      <c r="G15" s="45">
        <f t="shared" si="1"/>
        <v>-299.37086455759788</v>
      </c>
      <c r="H15" s="45">
        <f t="shared" si="1"/>
        <v>-281.23290079117129</v>
      </c>
      <c r="I15" s="45">
        <f t="shared" si="1"/>
        <v>-256.06547013132462</v>
      </c>
      <c r="J15" s="45">
        <f t="shared" si="1"/>
        <v>-225.97698424976221</v>
      </c>
      <c r="K15" s="45">
        <f t="shared" si="1"/>
        <v>-187.34149998164659</v>
      </c>
      <c r="L15" s="45">
        <f t="shared" si="1"/>
        <v>-145.90170688747793</v>
      </c>
      <c r="M15" s="45">
        <f t="shared" si="1"/>
        <v>-113.62836357542241</v>
      </c>
      <c r="N15" s="45">
        <f t="shared" si="1"/>
        <v>-88.49385853166126</v>
      </c>
      <c r="O15" s="45">
        <f t="shared" si="1"/>
        <v>-68.919086321467915</v>
      </c>
      <c r="P15" s="45">
        <f t="shared" si="1"/>
        <v>-53.674238395724963</v>
      </c>
      <c r="Q15" s="45">
        <f t="shared" si="1"/>
        <v>-41.801538893351868</v>
      </c>
      <c r="R15" s="45">
        <f t="shared" si="1"/>
        <v>-32.55507122373222</v>
      </c>
      <c r="S15" s="45">
        <f t="shared" si="1"/>
        <v>-15.377926768192598</v>
      </c>
      <c r="T15" s="45">
        <f t="shared" si="1"/>
        <v>-4.4058497848518998</v>
      </c>
      <c r="U15" s="44">
        <f t="shared" si="1"/>
        <v>-0.67565894767969825</v>
      </c>
      <c r="V15" s="1"/>
    </row>
    <row r="16" spans="1:23" s="2" customFormat="1" ht="14.7" customHeight="1" outlineLevel="2" x14ac:dyDescent="0.3">
      <c r="A16" s="1"/>
      <c r="B16" s="467" t="s">
        <v>238</v>
      </c>
      <c r="C16" s="45">
        <f t="shared" ref="C16:U16" si="2">150*(1-EXP(-C9/4))</f>
        <v>0.10496325857350386</v>
      </c>
      <c r="D16" s="45">
        <f t="shared" si="2"/>
        <v>1.5556272043448061</v>
      </c>
      <c r="E16" s="45">
        <f t="shared" si="2"/>
        <v>6.1227804154548977</v>
      </c>
      <c r="F16" s="45">
        <f t="shared" si="2"/>
        <v>13.423445792994876</v>
      </c>
      <c r="G16" s="45">
        <f t="shared" si="2"/>
        <v>21.698200903886622</v>
      </c>
      <c r="H16" s="45">
        <f t="shared" si="2"/>
        <v>29.471613946640886</v>
      </c>
      <c r="I16" s="45">
        <f t="shared" si="2"/>
        <v>40.257655658003735</v>
      </c>
      <c r="J16" s="45">
        <f t="shared" si="2"/>
        <v>53.152721035816192</v>
      </c>
      <c r="K16" s="45">
        <f t="shared" si="2"/>
        <v>69.710785722151456</v>
      </c>
      <c r="L16" s="45">
        <f t="shared" si="2"/>
        <v>87.470697048223727</v>
      </c>
      <c r="M16" s="45">
        <f t="shared" si="2"/>
        <v>101.30212989624754</v>
      </c>
      <c r="N16" s="45">
        <f t="shared" si="2"/>
        <v>112.07406062928803</v>
      </c>
      <c r="O16" s="45">
        <f t="shared" si="2"/>
        <v>120.4632487193709</v>
      </c>
      <c r="P16" s="45">
        <f t="shared" si="2"/>
        <v>126.99675497326074</v>
      </c>
      <c r="Q16" s="45">
        <f t="shared" si="2"/>
        <v>132.08505475999206</v>
      </c>
      <c r="R16" s="45">
        <f t="shared" si="2"/>
        <v>136.04782661840048</v>
      </c>
      <c r="S16" s="45">
        <f t="shared" si="2"/>
        <v>143.40945995648889</v>
      </c>
      <c r="T16" s="45">
        <f t="shared" si="2"/>
        <v>148.11177866363491</v>
      </c>
      <c r="U16" s="44">
        <f t="shared" si="2"/>
        <v>149.71043187956585</v>
      </c>
      <c r="V16" s="1"/>
    </row>
    <row r="17" spans="1:22" s="2" customFormat="1" ht="14.7" customHeight="1" outlineLevel="2" x14ac:dyDescent="0.3">
      <c r="A17" s="1"/>
      <c r="B17" s="468" t="s">
        <v>239</v>
      </c>
      <c r="C17" s="42">
        <f t="shared" ref="C17:U17" si="3">-150*(1-EXP(-C10/4))</f>
        <v>0</v>
      </c>
      <c r="D17" s="42">
        <f t="shared" si="3"/>
        <v>0</v>
      </c>
      <c r="E17" s="42">
        <f t="shared" si="3"/>
        <v>0</v>
      </c>
      <c r="F17" s="42">
        <f t="shared" si="3"/>
        <v>0</v>
      </c>
      <c r="G17" s="42">
        <f t="shared" si="3"/>
        <v>0</v>
      </c>
      <c r="H17" s="42">
        <f t="shared" si="3"/>
        <v>0</v>
      </c>
      <c r="I17" s="42">
        <f t="shared" si="3"/>
        <v>0</v>
      </c>
      <c r="J17" s="42">
        <f t="shared" si="3"/>
        <v>0</v>
      </c>
      <c r="K17" s="42">
        <f t="shared" si="3"/>
        <v>0</v>
      </c>
      <c r="L17" s="42">
        <f t="shared" si="3"/>
        <v>0</v>
      </c>
      <c r="M17" s="42">
        <f t="shared" si="3"/>
        <v>0</v>
      </c>
      <c r="N17" s="42">
        <f t="shared" si="3"/>
        <v>0</v>
      </c>
      <c r="O17" s="42">
        <f t="shared" si="3"/>
        <v>0</v>
      </c>
      <c r="P17" s="42">
        <f t="shared" si="3"/>
        <v>0</v>
      </c>
      <c r="Q17" s="42">
        <f t="shared" si="3"/>
        <v>0</v>
      </c>
      <c r="R17" s="42">
        <f t="shared" si="3"/>
        <v>0</v>
      </c>
      <c r="S17" s="42">
        <f t="shared" si="3"/>
        <v>0</v>
      </c>
      <c r="T17" s="42">
        <f t="shared" si="3"/>
        <v>0</v>
      </c>
      <c r="U17" s="41">
        <f t="shared" si="3"/>
        <v>0</v>
      </c>
      <c r="V17" s="1"/>
    </row>
    <row r="18" spans="1:22" s="2" customFormat="1" ht="14.7" customHeight="1" outlineLevel="1" x14ac:dyDescent="0.3">
      <c r="A18" s="615"/>
      <c r="B18" s="466" t="s">
        <v>40</v>
      </c>
      <c r="C18" s="551">
        <f>IF(($C$11+C12)&lt;-150,-150,($C$11+C12))</f>
        <v>405.51612455330587</v>
      </c>
      <c r="D18" s="551">
        <f>IF(($D$11+D12)&lt;-150,-150,($D$11+D12))</f>
        <v>439.43884521143661</v>
      </c>
      <c r="E18" s="551">
        <f>IF(($E$11+E12)&lt;-150,-150,($E$11+E12))</f>
        <v>533.72630181193199</v>
      </c>
      <c r="F18" s="551">
        <f>IF(($F$11+F12)&lt;-150,-150,($F$11+F12))</f>
        <v>650.31055249970098</v>
      </c>
      <c r="G18" s="551">
        <f>IF(($G$11+G12)&lt;-150,-150,($G$11+G12))</f>
        <v>742.06326960232809</v>
      </c>
      <c r="H18" s="551">
        <f>IF(($H$11+H12)&lt;-150,-150,($H$11+H12))</f>
        <v>798.81361482823479</v>
      </c>
      <c r="I18" s="551">
        <f>IF(($I$11+I12)&lt;-148.5,-148.5,($I$11+I12))</f>
        <v>844.22612230778839</v>
      </c>
      <c r="J18" s="551">
        <f>IF(($J$11+J12)&lt;-147,-147,($J$11+J12))</f>
        <v>865.96873916492484</v>
      </c>
      <c r="K18" s="551">
        <f>IF(($K$11+K12)&lt;-144,-144,($K$11+K12))</f>
        <v>866.80660588209446</v>
      </c>
      <c r="L18" s="551">
        <f>IF(($L$11+L12)&lt;-141,-141,($L$11+L12))</f>
        <v>854.75111614094919</v>
      </c>
      <c r="M18" s="551">
        <f>IF(($M$11+M12)&lt;-138,-138,($M$11+M12))</f>
        <v>843.6651168392998</v>
      </c>
      <c r="N18" s="551">
        <f>IF(($N$11+N12)&lt;-135,-135,($N$11+N12))</f>
        <v>835.81898951418623</v>
      </c>
      <c r="O18" s="551">
        <f>IF(($O$11+O12)&lt;-132,-132,($O$11+O12))</f>
        <v>830.65702749516026</v>
      </c>
      <c r="P18" s="551">
        <f>IF(($P$11+P12)&lt;-129,-129,($P$11+P12))</f>
        <v>827.45547346313515</v>
      </c>
      <c r="Q18" s="551">
        <f>IF(($Q$11+Q12)&lt;-126,-126,($Q$11+Q12))</f>
        <v>825.6623644321262</v>
      </c>
      <c r="R18" s="551">
        <f>IF(($R$11+R12)&lt;-123,-123,($R$11+R12))</f>
        <v>824.8820922729368</v>
      </c>
      <c r="S18" s="551">
        <f>IF(($S$11+S12)&lt;-108,-108,($S$11+S12))</f>
        <v>826.12844718774249</v>
      </c>
      <c r="T18" s="551">
        <f>IF(($T$11+T12)&lt;-93,-93,($T$11+T12))</f>
        <v>832.63163164035404</v>
      </c>
      <c r="U18" s="552">
        <f>IF(($U$11+U12)&lt;0,0,($U$11+U12))</f>
        <v>842.26890897844089</v>
      </c>
    </row>
    <row r="19" spans="1:22" s="2" customFormat="1" ht="14.7" customHeight="1" outlineLevel="1" x14ac:dyDescent="0.3">
      <c r="A19" s="615"/>
      <c r="B19" s="466" t="s">
        <v>41</v>
      </c>
      <c r="C19" s="551">
        <f>IF(($C$11+C13)&lt;-150,-150,($C$11+C13))</f>
        <v>-94.4838754466941</v>
      </c>
      <c r="D19" s="551">
        <f>IF(($D$11+D13)&lt;-150,-150,($D$11+D13))</f>
        <v>-60.561154788563385</v>
      </c>
      <c r="E19" s="551">
        <f t="shared" ref="E19:E21" si="4">IF(($E$11+E13)&lt;-150,-150,($E$11+E13))</f>
        <v>33.726301811932046</v>
      </c>
      <c r="F19" s="551">
        <f t="shared" ref="F19:F21" si="5">IF(($F$11+F13)&lt;-150,-150,($F$11+F13))</f>
        <v>150.31055249970098</v>
      </c>
      <c r="G19" s="551">
        <f t="shared" ref="G19:G21" si="6">IF(($G$11+G13)&lt;-150,-150,($G$11+G13))</f>
        <v>242.06326960232809</v>
      </c>
      <c r="H19" s="551">
        <f t="shared" ref="H19:H21" si="7">IF(($H$11+H13)&lt;-150,-150,($H$11+H13))</f>
        <v>298.81361482823479</v>
      </c>
      <c r="I19" s="551">
        <f t="shared" ref="I19:I21" si="8">IF(($I$11+I13)&lt;-148.5,-148.5,($I$11+I13))</f>
        <v>344.22612230778839</v>
      </c>
      <c r="J19" s="551">
        <f t="shared" ref="J19:J21" si="9">IF(($J$11+J13)&lt;-147,-147,($J$11+J13))</f>
        <v>365.96873916492484</v>
      </c>
      <c r="K19" s="551">
        <f t="shared" ref="K19:K21" si="10">IF(($K$11+K13)&lt;-144,-144,($K$11+K13))</f>
        <v>366.80660588209446</v>
      </c>
      <c r="L19" s="551">
        <f t="shared" ref="L19:L21" si="11">IF(($L$11+L13)&lt;-141,-141,($L$11+L13))</f>
        <v>354.75111614094919</v>
      </c>
      <c r="M19" s="551">
        <f t="shared" ref="M19:M21" si="12">IF(($M$11+M13)&lt;-138,-138,($M$11+M13))</f>
        <v>343.6651168392998</v>
      </c>
      <c r="N19" s="551">
        <f t="shared" ref="N19:N21" si="13">IF(($N$11+N13)&lt;-135,-135,($N$11+N13))</f>
        <v>335.81898951418623</v>
      </c>
      <c r="O19" s="551">
        <f t="shared" ref="O19:O21" si="14">IF(($O$11+O13)&lt;-132,-132,($O$11+O13))</f>
        <v>330.65702749516026</v>
      </c>
      <c r="P19" s="551">
        <f t="shared" ref="P19:P21" si="15">IF(($P$11+P13)&lt;-129,-129,($P$11+P13))</f>
        <v>327.45547346313515</v>
      </c>
      <c r="Q19" s="551">
        <f t="shared" ref="Q19:Q21" si="16">IF(($Q$11+Q13)&lt;-126,-126,($Q$11+Q13))</f>
        <v>325.6623644321262</v>
      </c>
      <c r="R19" s="551">
        <f t="shared" ref="R19:R21" si="17">IF(($R$11+R13)&lt;-123,-123,($R$11+R13))</f>
        <v>324.8820922729368</v>
      </c>
      <c r="S19" s="551">
        <f t="shared" ref="S19:S21" si="18">IF(($S$11+S13)&lt;-108,-108,($S$11+S13))</f>
        <v>326.12844718774249</v>
      </c>
      <c r="T19" s="551">
        <f t="shared" ref="T19:T21" si="19">IF(($T$11+T13)&lt;-93,-93,($T$11+T13))</f>
        <v>332.63163164035404</v>
      </c>
      <c r="U19" s="553">
        <f t="shared" ref="U19:U21" si="20">IF(($U$11+U13)&lt;0,0,($U$11+U13))</f>
        <v>342.26890897844089</v>
      </c>
    </row>
    <row r="20" spans="1:22" s="2" customFormat="1" ht="14.7" customHeight="1" outlineLevel="1" x14ac:dyDescent="0.3">
      <c r="A20" s="615"/>
      <c r="B20" s="465" t="s">
        <v>38</v>
      </c>
      <c r="C20" s="551">
        <f t="shared" ref="C20:C21" si="21">IF(($C$11+C14)&lt;-150,-150,($C$11+C14))</f>
        <v>505.271210283301</v>
      </c>
      <c r="D20" s="551">
        <f>IF(($D$11+D14)&lt;-150,-150,($D$11+D14))</f>
        <v>535.8090484012987</v>
      </c>
      <c r="E20" s="551">
        <f t="shared" si="4"/>
        <v>619.43981417587065</v>
      </c>
      <c r="F20" s="551">
        <f t="shared" si="5"/>
        <v>718.98917898271293</v>
      </c>
      <c r="G20" s="551">
        <f t="shared" si="6"/>
        <v>791.43413415992597</v>
      </c>
      <c r="H20" s="551">
        <f t="shared" si="7"/>
        <v>830.04651561940614</v>
      </c>
      <c r="I20" s="551">
        <f t="shared" si="8"/>
        <v>850.29159243911295</v>
      </c>
      <c r="J20" s="551">
        <f t="shared" si="9"/>
        <v>841.94572341468711</v>
      </c>
      <c r="K20" s="551">
        <f t="shared" si="10"/>
        <v>804.14810586374108</v>
      </c>
      <c r="L20" s="551">
        <f t="shared" si="11"/>
        <v>750.65282302842706</v>
      </c>
      <c r="M20" s="551">
        <f t="shared" si="12"/>
        <v>707.29348041472224</v>
      </c>
      <c r="N20" s="551">
        <f t="shared" si="13"/>
        <v>674.31284804584743</v>
      </c>
      <c r="O20" s="551">
        <f t="shared" si="14"/>
        <v>649.57611381662821</v>
      </c>
      <c r="P20" s="551">
        <f t="shared" si="15"/>
        <v>631.12971185886011</v>
      </c>
      <c r="Q20" s="551">
        <f t="shared" si="16"/>
        <v>617.4639033254781</v>
      </c>
      <c r="R20" s="551">
        <f t="shared" si="17"/>
        <v>607.43716349666897</v>
      </c>
      <c r="S20" s="551">
        <f t="shared" si="18"/>
        <v>591.50637395593515</v>
      </c>
      <c r="T20" s="551">
        <f t="shared" si="19"/>
        <v>587.0374814252059</v>
      </c>
      <c r="U20" s="553">
        <f t="shared" si="20"/>
        <v>592.94456792612061</v>
      </c>
    </row>
    <row r="21" spans="1:22" s="2" customFormat="1" ht="14.7" customHeight="1" outlineLevel="1" x14ac:dyDescent="0.3">
      <c r="A21" s="615"/>
      <c r="B21" s="465" t="s">
        <v>39</v>
      </c>
      <c r="C21" s="551">
        <f t="shared" si="21"/>
        <v>-150</v>
      </c>
      <c r="D21" s="551">
        <f>IF(($D$11+D15)&lt;-150,-150,($D$11+D15))</f>
        <v>-150</v>
      </c>
      <c r="E21" s="551">
        <f t="shared" si="4"/>
        <v>-51.987210552006502</v>
      </c>
      <c r="F21" s="551">
        <f t="shared" si="5"/>
        <v>81.631926016689022</v>
      </c>
      <c r="G21" s="551">
        <f t="shared" si="6"/>
        <v>192.69240504473021</v>
      </c>
      <c r="H21" s="551">
        <f t="shared" si="7"/>
        <v>267.5807140370635</v>
      </c>
      <c r="I21" s="551">
        <f t="shared" si="8"/>
        <v>338.16065217646377</v>
      </c>
      <c r="J21" s="551">
        <f t="shared" si="9"/>
        <v>389.99175491516263</v>
      </c>
      <c r="K21" s="551">
        <f t="shared" si="10"/>
        <v>429.46510590044784</v>
      </c>
      <c r="L21" s="551">
        <f t="shared" si="11"/>
        <v>458.84940925347126</v>
      </c>
      <c r="M21" s="551">
        <f t="shared" si="12"/>
        <v>480.03675326387736</v>
      </c>
      <c r="N21" s="551">
        <f t="shared" si="13"/>
        <v>497.32513098252497</v>
      </c>
      <c r="O21" s="551">
        <f t="shared" si="14"/>
        <v>511.73794117369232</v>
      </c>
      <c r="P21" s="551">
        <f t="shared" si="15"/>
        <v>523.78123506741019</v>
      </c>
      <c r="Q21" s="551">
        <f t="shared" si="16"/>
        <v>533.86082553877429</v>
      </c>
      <c r="R21" s="551">
        <f t="shared" si="17"/>
        <v>542.32702104920463</v>
      </c>
      <c r="S21" s="551">
        <f t="shared" si="18"/>
        <v>560.75052041954984</v>
      </c>
      <c r="T21" s="551">
        <f t="shared" si="19"/>
        <v>578.22578185550219</v>
      </c>
      <c r="U21" s="553">
        <f t="shared" si="20"/>
        <v>591.59325003076117</v>
      </c>
    </row>
    <row r="22" spans="1:22" s="2" customFormat="1" ht="14.7" customHeight="1" outlineLevel="1" x14ac:dyDescent="0.3">
      <c r="A22" s="615"/>
      <c r="B22" s="473" t="s">
        <v>33</v>
      </c>
      <c r="C22" s="551">
        <f>IF((C11+(-0.65)*C14+0.9*C16)&lt;-150,-150,(C11+(-0.65)*C14+0.9*C16))</f>
        <v>-71.730214238474787</v>
      </c>
      <c r="D22" s="551">
        <f>IF((D11+(-0.65)*D14+0.9*D16)&lt;-150,-150,(D11+(-0.65)*D14+0.9*D16))</f>
        <v>-34.301722378063445</v>
      </c>
      <c r="E22" s="551">
        <f t="shared" ref="E22:H22" si="22">IF((E11+(-0.65)*E14+0.9*E16)&lt;-150,-150,(E11+(-0.65)*E14+0.9*E16))</f>
        <v>71.023021149281377</v>
      </c>
      <c r="F22" s="551">
        <f t="shared" si="22"/>
        <v>205.25054649943857</v>
      </c>
      <c r="G22" s="551">
        <f t="shared" si="22"/>
        <v>317.00058845338742</v>
      </c>
      <c r="H22" s="551">
        <f t="shared" si="22"/>
        <v>392.53668186595024</v>
      </c>
      <c r="I22" s="551">
        <f>IF((I11+(-0.65)*I14+0.9*I16)&lt;-148.5,-148.5,(I11+(-0.65)*I14+0.9*I16))</f>
        <v>464.01545681463074</v>
      </c>
      <c r="J22" s="551">
        <f>IF((J11+(-0.65)*J14+0.9*J16)&lt;-147,-147,(J11+(-0.65)*J14+0.9*J16))</f>
        <v>516.92114833481401</v>
      </c>
      <c r="K22" s="551">
        <f>IF((K11+(-0.65)*K14+0.9*K16)&lt;-144,-144,(K11+(-0.65)*K14+0.9*K16))</f>
        <v>557.77433804396048</v>
      </c>
      <c r="L22" s="551">
        <f>IF((L11+(-0.65)*L14+0.9*L16)&lt;-141,-141,(L11+(-0.65)*L14+0.9*L16))</f>
        <v>588.63863400748994</v>
      </c>
      <c r="M22" s="551">
        <f>IF((M11+(-0.65)*M14+0.9*M16)&lt;-138,-138,(M11+(-0.65)*M14+0.9*M16))</f>
        <v>610.97859742189803</v>
      </c>
      <c r="N22" s="551">
        <f>IF((N11+(-0.65)*N14+0.9*N16)&lt;-135,-135,(N11+(-0.65)*N14+0.9*N16))</f>
        <v>629.16463603496561</v>
      </c>
      <c r="O22" s="551">
        <f>IF((O11+(-0.65)*O14+0.9*O16)&lt;-132,-132,(O11+(-0.65)*O14+0.9*O16))</f>
        <v>644.27654523363992</v>
      </c>
      <c r="P22" s="551">
        <f>IF((P11+(-0.65)*P14+0.9*P16)&lt;-129,-129,(P11+(-0.65)*P14+0.9*P16))</f>
        <v>656.86429798184861</v>
      </c>
      <c r="Q22" s="551">
        <f>IF((Q11+(-0.65)*Q14+0.9*Q16)&lt;-126,-126,(Q11+(-0.65)*Q14+0.9*Q16))</f>
        <v>667.3679134354403</v>
      </c>
      <c r="R22" s="551">
        <f>IF((R11+(-0.65)*R14+0.9*R16)&lt;-123,-123,(R11+(-0.65)*R14+0.9*R16))</f>
        <v>676.16433993407134</v>
      </c>
      <c r="S22" s="551">
        <f>IF((S11+(-0.65)*S14+0.9*S16)&lt;-108,-108,(S11+(-0.65)*S14+0.9*S16))</f>
        <v>695.20130874925735</v>
      </c>
      <c r="T22" s="551">
        <f>IF((T11+(-0.65)*T14+0.9*T16)&lt;-93,-93,(T11+(-0.65)*T14+0.9*T16))</f>
        <v>713.0684300774717</v>
      </c>
      <c r="U22" s="553">
        <f>IF((U11+(-0.65)*U14+0.9*U16)&lt;0,0,(U11+(-0.65)*U14+0.9*U16))</f>
        <v>726.56911935405833</v>
      </c>
    </row>
    <row r="23" spans="1:22" s="2" customFormat="1" ht="14.7" customHeight="1" outlineLevel="1" x14ac:dyDescent="0.3">
      <c r="A23" s="1"/>
      <c r="B23" s="474" t="s">
        <v>52</v>
      </c>
      <c r="C23" s="554">
        <f>IF((C11+(0.8)*C14-0.6*C16)&lt;-150,-150,(C11+(0.8)*C14-0.6*C16))</f>
        <v>435.25721518215789</v>
      </c>
      <c r="D23" s="554">
        <f>IF((D11+(0.8)*D14-0.6*D16)&lt;-150,-150,(D11+(0.8)*D14-0.6*D16))</f>
        <v>465.60163144071947</v>
      </c>
      <c r="E23" s="554">
        <f t="shared" ref="E23:H23" si="23">IF((E11+(0.8)*E14-0.6*E16)&lt;-150,-150,(E11+(0.8)*E14-0.6*E16))</f>
        <v>548.62344345380995</v>
      </c>
      <c r="F23" s="554">
        <f t="shared" si="23"/>
        <v>647.19938621031361</v>
      </c>
      <c r="G23" s="554">
        <f t="shared" si="23"/>
        <v>718.54104070607434</v>
      </c>
      <c r="H23" s="554">
        <f t="shared" si="23"/>
        <v>756.11696709318721</v>
      </c>
      <c r="I23" s="554">
        <f>IF((I11+(0.8)*I14-0.6*I16)&lt;-148.5,-148.5,(I11+(0.8)*I14-0.6*I16))</f>
        <v>774.92390501804596</v>
      </c>
      <c r="J23" s="554">
        <f>IF((J11+(0.8)*J14-0.6*J16)&lt;-147,-147,(J11+(0.8)*J14-0.6*J16))</f>
        <v>764.85869394324493</v>
      </c>
      <c r="K23" s="554">
        <f>IF((K11+(0.8)*K14-0.6*K16)&lt;-144,-144,(K11+(0.8)*K14-0.6*K16))</f>
        <v>724.85333443412082</v>
      </c>
      <c r="L23" s="554">
        <f>IF((L11+(0.8)*L14-0.6*L16)&lt;-141,-141,(L11+(0.8)*L14-0.6*L16))</f>
        <v>668.99006342199732</v>
      </c>
      <c r="M23" s="554">
        <f>IF((M11+(0.8)*M14-0.6*M16)&lt;-138,-138,(M11+(0.8)*M14-0.6*M16))</f>
        <v>623.78652976188926</v>
      </c>
      <c r="N23" s="554">
        <f>IF((N11+(0.8)*N14-0.6*N16)&lt;-135,-135,(N11+(0.8)*N14-0.6*N16))</f>
        <v>589.36963996194243</v>
      </c>
      <c r="O23" s="554">
        <f>IF((O11+(0.8)*O14-0.6*O16)&lt;-132,-132,(O11+(0.8)*O14-0.6*O16))</f>
        <v>563.51434732071209</v>
      </c>
      <c r="P23" s="554">
        <f>IF((P11+(0.8)*P14-0.6*P16)&lt;-129,-129,(P11+(0.8)*P14-0.6*P16))</f>
        <v>544.19681119575864</v>
      </c>
      <c r="Q23" s="554">
        <f>IF((Q11+(0.8)*Q14-0.6*Q16)&lt;-126,-126,(Q11+(0.8)*Q14-0.6*Q16))</f>
        <v>529.85256269081242</v>
      </c>
      <c r="R23" s="554">
        <f>IF((R11+(0.8)*R14-0.6*R16)&lt;-123,-123,(R11+(0.8)*R14-0.6*R16))</f>
        <v>519.29745328088222</v>
      </c>
      <c r="S23" s="554">
        <f>IF((S11+(0.8)*S14-0.6*S16)&lt;-108,-108,(S11+(0.8)*S14-0.6*S16))</f>
        <v>502.38511262840331</v>
      </c>
      <c r="T23" s="554">
        <f>IF((T11+(0.8)*T14-0.6*T16)&lt;-93,-93,(T11+(0.8)*T14-0.6*T16))</f>
        <v>497.28924427005461</v>
      </c>
      <c r="U23" s="555">
        <f>IF((U11+(0.8)*U14-0.6*U16)&lt;0,0,(U11+(0.8)*U14-0.6*U16))</f>
        <v>502.98317700884513</v>
      </c>
    </row>
    <row r="24" spans="1:22" s="1" customFormat="1" ht="14.7" customHeight="1" x14ac:dyDescent="0.3">
      <c r="B24" s="469" t="s">
        <v>203</v>
      </c>
      <c r="C24" s="161"/>
      <c r="D24" s="40"/>
      <c r="E24" s="40"/>
      <c r="F24" s="40"/>
      <c r="G24" s="40"/>
      <c r="H24" s="40"/>
      <c r="I24" s="40"/>
      <c r="J24" s="40"/>
      <c r="K24" s="40"/>
      <c r="L24" s="40"/>
      <c r="M24" s="40"/>
      <c r="N24" s="40"/>
      <c r="O24" s="40"/>
      <c r="P24" s="40"/>
      <c r="Q24" s="40"/>
      <c r="R24" s="40"/>
      <c r="S24" s="40"/>
      <c r="T24" s="40"/>
      <c r="U24" s="39"/>
    </row>
    <row r="25" spans="1:22" s="1" customFormat="1" ht="14.7" customHeight="1" outlineLevel="1" x14ac:dyDescent="0.3">
      <c r="B25" s="463" t="s">
        <v>18</v>
      </c>
      <c r="C25" s="14">
        <f>EXP(-C11/10000*C$9)</f>
        <v>0.99995645643317366</v>
      </c>
      <c r="D25" s="14">
        <f t="shared" ref="D25:U25" si="24">EXP(-D11/10000*D$9)</f>
        <v>0.99921035195171248</v>
      </c>
      <c r="E25" s="14">
        <f t="shared" si="24"/>
        <v>0.99528145004906832</v>
      </c>
      <c r="F25" s="14">
        <f t="shared" si="24"/>
        <v>0.98510046733328938</v>
      </c>
      <c r="G25" s="14">
        <f t="shared" si="24"/>
        <v>0.96971413767110837</v>
      </c>
      <c r="H25" s="14">
        <f t="shared" si="24"/>
        <v>0.95311358914990441</v>
      </c>
      <c r="I25" s="14">
        <f t="shared" si="24"/>
        <v>0.92841331269542249</v>
      </c>
      <c r="J25" s="14">
        <f t="shared" si="24"/>
        <v>0.89781205150206733</v>
      </c>
      <c r="K25" s="14">
        <f t="shared" si="24"/>
        <v>0.85709916827637156</v>
      </c>
      <c r="L25" s="14">
        <f t="shared" si="24"/>
        <v>0.80923745310204731</v>
      </c>
      <c r="M25" s="14">
        <f t="shared" si="24"/>
        <v>0.7655587630356242</v>
      </c>
      <c r="N25" s="14">
        <f t="shared" si="24"/>
        <v>0.72455294331457853</v>
      </c>
      <c r="O25" s="14">
        <f t="shared" si="24"/>
        <v>0.68562320372024343</v>
      </c>
      <c r="P25" s="14">
        <f t="shared" si="24"/>
        <v>0.64850108307909871</v>
      </c>
      <c r="Q25" s="14">
        <f t="shared" si="24"/>
        <v>0.613047407132844</v>
      </c>
      <c r="R25" s="14">
        <f t="shared" si="24"/>
        <v>0.57918230585585362</v>
      </c>
      <c r="S25" s="14">
        <f t="shared" si="24"/>
        <v>0.486674109785668</v>
      </c>
      <c r="T25" s="14">
        <f t="shared" si="24"/>
        <v>0.36073727511361198</v>
      </c>
      <c r="U25" s="38">
        <f t="shared" si="24"/>
        <v>0.22748470526714668</v>
      </c>
    </row>
    <row r="26" spans="1:22" s="1" customFormat="1" ht="14.7" customHeight="1" outlineLevel="1" x14ac:dyDescent="0.3">
      <c r="B26" s="466" t="s">
        <v>40</v>
      </c>
      <c r="C26" s="20">
        <f t="shared" ref="C26:U31" si="25">EXP(-C18/10000*C$9)</f>
        <v>0.99988646193105957</v>
      </c>
      <c r="D26" s="20">
        <f t="shared" si="25"/>
        <v>0.9981692179451962</v>
      </c>
      <c r="E26" s="20">
        <f t="shared" si="25"/>
        <v>0.99114224566395248</v>
      </c>
      <c r="F26" s="20">
        <f t="shared" si="25"/>
        <v>0.97590830603343437</v>
      </c>
      <c r="G26" s="20">
        <f t="shared" si="25"/>
        <v>0.95468011345097825</v>
      </c>
      <c r="H26" s="20">
        <f t="shared" si="25"/>
        <v>0.93249061552266588</v>
      </c>
      <c r="I26" s="20">
        <f t="shared" si="25"/>
        <v>0.89984903799468186</v>
      </c>
      <c r="J26" s="20">
        <f t="shared" si="25"/>
        <v>0.85937961380197347</v>
      </c>
      <c r="K26" s="20">
        <f t="shared" si="25"/>
        <v>0.80517015480538889</v>
      </c>
      <c r="L26" s="20">
        <f t="shared" si="25"/>
        <v>0.74143862617878775</v>
      </c>
      <c r="M26" s="20">
        <f t="shared" si="25"/>
        <v>0.68410127970431056</v>
      </c>
      <c r="N26" s="20">
        <f t="shared" si="25"/>
        <v>0.63147277849019878</v>
      </c>
      <c r="O26" s="20">
        <f t="shared" si="25"/>
        <v>0.58279075499409294</v>
      </c>
      <c r="P26" s="20">
        <f t="shared" si="25"/>
        <v>0.53762628104409971</v>
      </c>
      <c r="Q26" s="20">
        <f t="shared" si="25"/>
        <v>0.49568580543137852</v>
      </c>
      <c r="R26" s="20">
        <f t="shared" si="25"/>
        <v>0.45674136570917717</v>
      </c>
      <c r="S26" s="20">
        <f t="shared" si="25"/>
        <v>0.35605838492288844</v>
      </c>
      <c r="T26" s="20">
        <f t="shared" si="25"/>
        <v>0.23290949010471668</v>
      </c>
      <c r="U26" s="37">
        <f t="shared" si="25"/>
        <v>0.12176378830751437</v>
      </c>
    </row>
    <row r="27" spans="1:22" s="1" customFormat="1" ht="14.7" customHeight="1" outlineLevel="1" x14ac:dyDescent="0.3">
      <c r="B27" s="466" t="s">
        <v>41</v>
      </c>
      <c r="C27" s="20">
        <f t="shared" si="25"/>
        <v>1.0000264558350744</v>
      </c>
      <c r="D27" s="20">
        <f t="shared" si="25"/>
        <v>1.0002525719063826</v>
      </c>
      <c r="E27" s="20">
        <f>EXP(-E19/10000*E$9)</f>
        <v>0.99943794056341206</v>
      </c>
      <c r="F27" s="20">
        <f t="shared" si="25"/>
        <v>0.99437921036304677</v>
      </c>
      <c r="G27" s="20">
        <f t="shared" si="25"/>
        <v>0.98498491332354221</v>
      </c>
      <c r="H27" s="20">
        <f t="shared" si="25"/>
        <v>0.97419266070901489</v>
      </c>
      <c r="I27" s="20">
        <f>EXP(-I19/10000*I$9)</f>
        <v>0.95788431480790515</v>
      </c>
      <c r="J27" s="20">
        <f t="shared" si="25"/>
        <v>0.93796323170413531</v>
      </c>
      <c r="K27" s="20">
        <f t="shared" si="25"/>
        <v>0.91237731537330347</v>
      </c>
      <c r="L27" s="20">
        <f t="shared" si="25"/>
        <v>0.88323595828574553</v>
      </c>
      <c r="M27" s="20">
        <f t="shared" si="25"/>
        <v>0.8567155727496325</v>
      </c>
      <c r="N27" s="20">
        <f t="shared" si="25"/>
        <v>0.83135328322623347</v>
      </c>
      <c r="O27" s="20">
        <f t="shared" si="25"/>
        <v>0.8066002651060844</v>
      </c>
      <c r="P27" s="20">
        <f t="shared" si="25"/>
        <v>0.7822416231922773</v>
      </c>
      <c r="Q27" s="20">
        <f t="shared" si="25"/>
        <v>0.75819625915096223</v>
      </c>
      <c r="R27" s="20">
        <f t="shared" si="25"/>
        <v>0.73444660063940304</v>
      </c>
      <c r="S27" s="20">
        <f t="shared" si="25"/>
        <v>0.66520463824203258</v>
      </c>
      <c r="T27" s="20">
        <f t="shared" si="25"/>
        <v>0.55872082154267899</v>
      </c>
      <c r="U27" s="37">
        <f t="shared" si="25"/>
        <v>0.42499738099300738</v>
      </c>
    </row>
    <row r="28" spans="1:22" s="1" customFormat="1" ht="14.7" customHeight="1" outlineLevel="1" x14ac:dyDescent="0.3">
      <c r="B28" s="465" t="s">
        <v>38</v>
      </c>
      <c r="C28" s="20">
        <f t="shared" si="25"/>
        <v>0.99985853406836933</v>
      </c>
      <c r="D28" s="20">
        <f t="shared" si="25"/>
        <v>0.99776817051144107</v>
      </c>
      <c r="E28" s="20">
        <f>EXP(-E20/10000*E$9)</f>
        <v>0.98972706903846741</v>
      </c>
      <c r="F28" s="20">
        <f t="shared" si="25"/>
        <v>0.97339813824864507</v>
      </c>
      <c r="G28" s="20">
        <f t="shared" si="25"/>
        <v>0.95173881732159016</v>
      </c>
      <c r="H28" s="20">
        <f t="shared" si="25"/>
        <v>0.92994571071251375</v>
      </c>
      <c r="I28" s="20">
        <f t="shared" si="25"/>
        <v>0.89916704563228844</v>
      </c>
      <c r="J28" s="20">
        <f t="shared" si="25"/>
        <v>0.86300007447788607</v>
      </c>
      <c r="K28" s="20">
        <f t="shared" si="25"/>
        <v>0.81788214770772982</v>
      </c>
      <c r="L28" s="20">
        <f t="shared" si="25"/>
        <v>0.76895064825300163</v>
      </c>
      <c r="M28" s="20">
        <f t="shared" si="25"/>
        <v>0.72739758521249254</v>
      </c>
      <c r="N28" s="20">
        <f t="shared" si="25"/>
        <v>0.69013222699420584</v>
      </c>
      <c r="O28" s="20">
        <f t="shared" si="25"/>
        <v>0.65558686068278105</v>
      </c>
      <c r="P28" s="20">
        <f t="shared" si="25"/>
        <v>0.62291370571227567</v>
      </c>
      <c r="Q28" s="20">
        <f t="shared" si="25"/>
        <v>0.59164746616071051</v>
      </c>
      <c r="R28" s="20">
        <f t="shared" si="25"/>
        <v>0.56154391072590837</v>
      </c>
      <c r="S28" s="20">
        <f t="shared" si="25"/>
        <v>0.47740840118367023</v>
      </c>
      <c r="T28" s="20">
        <f t="shared" si="25"/>
        <v>0.35796660018938675</v>
      </c>
      <c r="U28" s="37">
        <f t="shared" si="25"/>
        <v>0.22710077442488422</v>
      </c>
    </row>
    <row r="29" spans="1:22" s="1" customFormat="1" ht="14.7" customHeight="1" outlineLevel="1" x14ac:dyDescent="0.3">
      <c r="B29" s="465" t="s">
        <v>39</v>
      </c>
      <c r="C29" s="20">
        <f t="shared" si="25"/>
        <v>1.0000420008820123</v>
      </c>
      <c r="D29" s="20">
        <f t="shared" si="25"/>
        <v>1.0006256956659192</v>
      </c>
      <c r="E29" s="20">
        <f t="shared" si="25"/>
        <v>1.0008670024294095</v>
      </c>
      <c r="F29" s="20">
        <f t="shared" si="25"/>
        <v>0.99694348346121453</v>
      </c>
      <c r="G29" s="20">
        <f t="shared" si="25"/>
        <v>0.98802895467221552</v>
      </c>
      <c r="H29" s="20">
        <f t="shared" si="25"/>
        <v>0.97685865245422521</v>
      </c>
      <c r="I29" s="20">
        <f t="shared" si="25"/>
        <v>0.95861084253145623</v>
      </c>
      <c r="J29" s="20">
        <f t="shared" si="25"/>
        <v>0.93402828535098326</v>
      </c>
      <c r="K29" s="20">
        <f t="shared" si="25"/>
        <v>0.89819662443905546</v>
      </c>
      <c r="L29" s="20">
        <f t="shared" si="25"/>
        <v>0.85163496121746329</v>
      </c>
      <c r="M29" s="20">
        <f t="shared" si="25"/>
        <v>0.80572197595270423</v>
      </c>
      <c r="N29" s="20">
        <f t="shared" si="25"/>
        <v>0.76069041139014415</v>
      </c>
      <c r="O29" s="20">
        <f t="shared" si="25"/>
        <v>0.71703569072453954</v>
      </c>
      <c r="P29" s="20">
        <f t="shared" si="25"/>
        <v>0.67513951113642379</v>
      </c>
      <c r="Q29" s="20">
        <f t="shared" si="25"/>
        <v>0.6352213858551643</v>
      </c>
      <c r="R29" s="20">
        <f t="shared" si="25"/>
        <v>0.5973747324280736</v>
      </c>
      <c r="S29" s="20">
        <f t="shared" si="25"/>
        <v>0.49611965048882756</v>
      </c>
      <c r="T29" s="20">
        <f t="shared" si="25"/>
        <v>0.3635293951657671</v>
      </c>
      <c r="U29" s="37">
        <f t="shared" si="25"/>
        <v>0.22786928517320917</v>
      </c>
    </row>
    <row r="30" spans="1:22" s="1" customFormat="1" ht="14.7" customHeight="1" outlineLevel="1" x14ac:dyDescent="0.3">
      <c r="B30" s="473" t="s">
        <v>33</v>
      </c>
      <c r="C30" s="20">
        <f t="shared" si="25"/>
        <v>1.0000200846616809</v>
      </c>
      <c r="D30" s="20">
        <f t="shared" si="25"/>
        <v>1.0001430484127651</v>
      </c>
      <c r="E30" s="20">
        <f t="shared" si="25"/>
        <v>0.99881674683417876</v>
      </c>
      <c r="F30" s="20">
        <f t="shared" si="25"/>
        <v>0.99233264975556446</v>
      </c>
      <c r="G30" s="20">
        <f t="shared" si="25"/>
        <v>0.98038244173229583</v>
      </c>
      <c r="H30" s="20">
        <f t="shared" si="25"/>
        <v>0.96623620148542866</v>
      </c>
      <c r="I30" s="20">
        <f t="shared" si="25"/>
        <v>0.9436481242107706</v>
      </c>
      <c r="J30" s="20">
        <f t="shared" si="25"/>
        <v>0.91350977651702392</v>
      </c>
      <c r="K30" s="20">
        <f t="shared" si="25"/>
        <v>0.86984209438731441</v>
      </c>
      <c r="L30" s="20">
        <f t="shared" si="25"/>
        <v>0.81381393360568721</v>
      </c>
      <c r="M30" s="20">
        <f t="shared" si="25"/>
        <v>0.75961741874238953</v>
      </c>
      <c r="N30" s="20">
        <f t="shared" si="25"/>
        <v>0.70748379818471496</v>
      </c>
      <c r="O30" s="20">
        <f t="shared" si="25"/>
        <v>0.65784906767486828</v>
      </c>
      <c r="P30" s="20">
        <f t="shared" si="25"/>
        <v>0.61100616888520032</v>
      </c>
      <c r="Q30" s="20">
        <f t="shared" si="25"/>
        <v>0.56707555712286328</v>
      </c>
      <c r="R30" s="20">
        <f t="shared" si="25"/>
        <v>0.52605152070252603</v>
      </c>
      <c r="S30" s="20">
        <f t="shared" si="25"/>
        <v>0.41937002427918302</v>
      </c>
      <c r="T30" s="20">
        <f t="shared" si="25"/>
        <v>0.28711577348321832</v>
      </c>
      <c r="U30" s="37">
        <f t="shared" si="25"/>
        <v>0.16260638761984467</v>
      </c>
    </row>
    <row r="31" spans="1:22" s="1" customFormat="1" ht="14.7" customHeight="1" outlineLevel="1" x14ac:dyDescent="0.3">
      <c r="B31" s="474" t="s">
        <v>52</v>
      </c>
      <c r="C31" s="17">
        <f t="shared" si="25"/>
        <v>0.99987813540584203</v>
      </c>
      <c r="D31" s="17">
        <f t="shared" si="25"/>
        <v>0.99806032480294393</v>
      </c>
      <c r="E31" s="17">
        <f t="shared" si="25"/>
        <v>0.99089614056587871</v>
      </c>
      <c r="F31" s="17">
        <f t="shared" si="25"/>
        <v>0.97602217066389885</v>
      </c>
      <c r="G31" s="17">
        <f t="shared" si="25"/>
        <v>0.95608465839582812</v>
      </c>
      <c r="H31" s="17">
        <f t="shared" si="25"/>
        <v>0.93598087573469735</v>
      </c>
      <c r="I31" s="17">
        <f t="shared" si="25"/>
        <v>0.90767809140205291</v>
      </c>
      <c r="J31" s="17">
        <f t="shared" si="25"/>
        <v>0.87472102551828801</v>
      </c>
      <c r="K31" s="17">
        <f t="shared" si="25"/>
        <v>0.83425736457637278</v>
      </c>
      <c r="L31" s="17">
        <f t="shared" si="25"/>
        <v>0.79124587231750509</v>
      </c>
      <c r="M31" s="17">
        <f t="shared" si="25"/>
        <v>0.75525190347597093</v>
      </c>
      <c r="N31" s="17">
        <f t="shared" si="25"/>
        <v>0.72313937518462124</v>
      </c>
      <c r="O31" s="17">
        <f t="shared" si="25"/>
        <v>0.69330564852892662</v>
      </c>
      <c r="P31" s="17">
        <f t="shared" si="25"/>
        <v>0.6648807296001833</v>
      </c>
      <c r="Q31" s="17">
        <f t="shared" si="25"/>
        <v>0.63738929094880736</v>
      </c>
      <c r="R31" s="17">
        <f t="shared" si="25"/>
        <v>0.61058816550488493</v>
      </c>
      <c r="S31" s="17">
        <f t="shared" si="25"/>
        <v>0.53366798155252404</v>
      </c>
      <c r="T31" s="17">
        <f t="shared" si="25"/>
        <v>0.4188442370446841</v>
      </c>
      <c r="U31" s="36">
        <f t="shared" si="25"/>
        <v>0.28437600861018753</v>
      </c>
    </row>
    <row r="32" spans="1:22" s="1" customFormat="1" ht="14.7" customHeight="1" x14ac:dyDescent="0.25">
      <c r="B32" s="550"/>
      <c r="L32" s="6"/>
    </row>
    <row r="33" spans="1:21" ht="15" customHeight="1" x14ac:dyDescent="0.3">
      <c r="B33" s="475" t="s">
        <v>242</v>
      </c>
      <c r="C33" s="247" t="s">
        <v>0</v>
      </c>
      <c r="D33" s="247" t="s">
        <v>51</v>
      </c>
      <c r="E33" s="248" t="s">
        <v>3</v>
      </c>
      <c r="F33" s="247" t="s">
        <v>4</v>
      </c>
      <c r="G33" s="248" t="s">
        <v>5</v>
      </c>
      <c r="H33" s="248" t="s">
        <v>6</v>
      </c>
      <c r="I33" s="247" t="s">
        <v>19</v>
      </c>
      <c r="J33" s="248" t="s">
        <v>20</v>
      </c>
      <c r="K33" s="247" t="s">
        <v>21</v>
      </c>
      <c r="L33" s="247" t="s">
        <v>22</v>
      </c>
      <c r="M33" s="247" t="s">
        <v>23</v>
      </c>
      <c r="N33" s="247" t="s">
        <v>24</v>
      </c>
      <c r="O33" s="247" t="s">
        <v>25</v>
      </c>
      <c r="P33" s="247" t="s">
        <v>26</v>
      </c>
      <c r="Q33" s="247" t="s">
        <v>27</v>
      </c>
      <c r="R33" s="248" t="s">
        <v>28</v>
      </c>
      <c r="S33" s="247" t="s">
        <v>29</v>
      </c>
      <c r="T33" s="247" t="s">
        <v>30</v>
      </c>
      <c r="U33" s="249" t="s">
        <v>31</v>
      </c>
    </row>
    <row r="34" spans="1:21" x14ac:dyDescent="0.3">
      <c r="A34" s="24">
        <f t="shared" ref="A34:A40" si="26">1/2/12</f>
        <v>4.1666666666666664E-2</v>
      </c>
      <c r="B34" s="463" t="s">
        <v>18</v>
      </c>
      <c r="C34" s="35">
        <f t="shared" ref="C34:U34" si="27">C11</f>
        <v>155.5161245533059</v>
      </c>
      <c r="D34" s="34">
        <f t="shared" si="27"/>
        <v>189.43884521143661</v>
      </c>
      <c r="E34" s="34">
        <f t="shared" si="27"/>
        <v>283.72630181193205</v>
      </c>
      <c r="F34" s="34">
        <f t="shared" si="27"/>
        <v>400.31055249970098</v>
      </c>
      <c r="G34" s="34">
        <f t="shared" si="27"/>
        <v>492.06326960232809</v>
      </c>
      <c r="H34" s="34">
        <f t="shared" si="27"/>
        <v>548.81361482823479</v>
      </c>
      <c r="I34" s="34">
        <f t="shared" si="27"/>
        <v>594.22612230778839</v>
      </c>
      <c r="J34" s="34">
        <f t="shared" si="27"/>
        <v>615.96873916492484</v>
      </c>
      <c r="K34" s="34">
        <f t="shared" si="27"/>
        <v>616.80660588209446</v>
      </c>
      <c r="L34" s="34">
        <f t="shared" si="27"/>
        <v>604.75111614094919</v>
      </c>
      <c r="M34" s="34">
        <f t="shared" si="27"/>
        <v>593.6651168392998</v>
      </c>
      <c r="N34" s="34">
        <f t="shared" si="27"/>
        <v>585.81898951418623</v>
      </c>
      <c r="O34" s="34">
        <f t="shared" si="27"/>
        <v>580.65702749516026</v>
      </c>
      <c r="P34" s="34">
        <f t="shared" si="27"/>
        <v>577.45547346313515</v>
      </c>
      <c r="Q34" s="34">
        <f t="shared" si="27"/>
        <v>575.6623644321262</v>
      </c>
      <c r="R34" s="34">
        <f t="shared" si="27"/>
        <v>574.8820922729368</v>
      </c>
      <c r="S34" s="34">
        <f t="shared" si="27"/>
        <v>576.12844718774249</v>
      </c>
      <c r="T34" s="34">
        <f t="shared" si="27"/>
        <v>582.63163164035404</v>
      </c>
      <c r="U34" s="476">
        <f t="shared" si="27"/>
        <v>592.26890897844089</v>
      </c>
    </row>
    <row r="35" spans="1:21" x14ac:dyDescent="0.3">
      <c r="A35" s="24">
        <f t="shared" si="26"/>
        <v>4.1666666666666664E-2</v>
      </c>
      <c r="B35" s="480" t="s">
        <v>40</v>
      </c>
      <c r="C35" s="32">
        <f>C18</f>
        <v>405.51612455330587</v>
      </c>
      <c r="D35" s="32">
        <f t="shared" ref="D35:D40" si="28">-LOG(E26/D26)/$D$9*10000</f>
        <v>735.77582344387224</v>
      </c>
      <c r="E35" s="32">
        <f t="shared" ref="E35:E40" si="29">-LOG(F26/E26)/$E$9*10000</f>
        <v>403.53768592838685</v>
      </c>
      <c r="F35" s="32">
        <f>-LOG(G26/F26)/F$9*10000</f>
        <v>254.69702087821847</v>
      </c>
      <c r="G35" s="32">
        <f t="shared" ref="G35:T35" si="30">-LOG(H26/G26)/G$9*10000</f>
        <v>163.41449977335262</v>
      </c>
      <c r="H35" s="32">
        <f t="shared" si="30"/>
        <v>176.85500700641086</v>
      </c>
      <c r="I35" s="32">
        <f t="shared" si="30"/>
        <v>159.87687649120849</v>
      </c>
      <c r="J35" s="32">
        <f t="shared" si="30"/>
        <v>161.69930623978584</v>
      </c>
      <c r="K35" s="32">
        <f t="shared" si="30"/>
        <v>143.24984458504326</v>
      </c>
      <c r="L35" s="32">
        <f t="shared" si="30"/>
        <v>99.870870196216032</v>
      </c>
      <c r="M35" s="32">
        <f t="shared" si="30"/>
        <v>77.257264646384513</v>
      </c>
      <c r="N35" s="32">
        <f t="shared" si="30"/>
        <v>63.349054451216738</v>
      </c>
      <c r="O35" s="32">
        <f t="shared" si="30"/>
        <v>53.895636003558195</v>
      </c>
      <c r="P35" s="32">
        <f t="shared" si="30"/>
        <v>47.032010480790568</v>
      </c>
      <c r="Q35" s="32">
        <f t="shared" si="30"/>
        <v>41.807219270992498</v>
      </c>
      <c r="R35" s="32">
        <f t="shared" si="30"/>
        <v>113.84118799576328</v>
      </c>
      <c r="S35" s="32">
        <f t="shared" si="30"/>
        <v>147.46722635437081</v>
      </c>
      <c r="T35" s="32">
        <f t="shared" si="30"/>
        <v>160.95373327479211</v>
      </c>
      <c r="U35" s="477">
        <f t="shared" ref="U35:U40" si="31">T35</f>
        <v>160.95373327479211</v>
      </c>
    </row>
    <row r="36" spans="1:21" x14ac:dyDescent="0.3">
      <c r="A36" s="24">
        <f t="shared" si="26"/>
        <v>4.1666666666666664E-2</v>
      </c>
      <c r="B36" s="480" t="s">
        <v>41</v>
      </c>
      <c r="C36" s="32">
        <f t="shared" ref="C36:C40" si="32">C19</f>
        <v>-94.4838754466941</v>
      </c>
      <c r="D36" s="32">
        <f t="shared" si="28"/>
        <v>84.854837377863177</v>
      </c>
      <c r="E36" s="32">
        <f t="shared" si="29"/>
        <v>132.20133145793878</v>
      </c>
      <c r="F36" s="32">
        <f t="shared" ref="F36:T40" si="33">-LOG(G27/F27)/F$9*10000</f>
        <v>109.9321935771347</v>
      </c>
      <c r="G36" s="32">
        <f t="shared" si="33"/>
        <v>76.555603392701613</v>
      </c>
      <c r="H36" s="32">
        <f t="shared" si="33"/>
        <v>83.791903741429181</v>
      </c>
      <c r="I36" s="32">
        <f t="shared" si="33"/>
        <v>73.017980110557914</v>
      </c>
      <c r="J36" s="32">
        <f t="shared" si="33"/>
        <v>68.636202974803552</v>
      </c>
      <c r="K36" s="32">
        <f t="shared" si="33"/>
        <v>56.390948204392814</v>
      </c>
      <c r="L36" s="32">
        <f t="shared" si="33"/>
        <v>37.828801352894594</v>
      </c>
      <c r="M36" s="32">
        <f t="shared" si="33"/>
        <v>29.002322212690014</v>
      </c>
      <c r="N36" s="32">
        <f t="shared" si="33"/>
        <v>23.867737914557356</v>
      </c>
      <c r="O36" s="32">
        <f t="shared" si="33"/>
        <v>20.48836816484663</v>
      </c>
      <c r="P36" s="32">
        <f t="shared" si="33"/>
        <v>18.079045020573673</v>
      </c>
      <c r="Q36" s="32">
        <f t="shared" si="33"/>
        <v>16.260485041389462</v>
      </c>
      <c r="R36" s="32">
        <f t="shared" si="33"/>
        <v>45.268375063670852</v>
      </c>
      <c r="S36" s="32">
        <f t="shared" si="33"/>
        <v>60.608329973720579</v>
      </c>
      <c r="T36" s="32">
        <f t="shared" si="33"/>
        <v>67.890630009809428</v>
      </c>
      <c r="U36" s="477">
        <f t="shared" si="31"/>
        <v>67.890630009809428</v>
      </c>
    </row>
    <row r="37" spans="1:21" x14ac:dyDescent="0.3">
      <c r="A37" s="24">
        <f t="shared" si="26"/>
        <v>4.1666666666666664E-2</v>
      </c>
      <c r="B37" s="465" t="s">
        <v>38</v>
      </c>
      <c r="C37" s="32">
        <f t="shared" si="32"/>
        <v>505.271210283301</v>
      </c>
      <c r="D37" s="32">
        <f t="shared" si="28"/>
        <v>842.73312939706705</v>
      </c>
      <c r="E37" s="32">
        <f>-LOG(F28/E28)/$E$9*10000</f>
        <v>433.40954527032267</v>
      </c>
      <c r="F37" s="32">
        <f t="shared" si="33"/>
        <v>260.60609577888175</v>
      </c>
      <c r="G37" s="32">
        <f t="shared" si="33"/>
        <v>160.96299278360738</v>
      </c>
      <c r="H37" s="32">
        <f t="shared" si="33"/>
        <v>167.0538736935213</v>
      </c>
      <c r="I37" s="32">
        <f t="shared" si="33"/>
        <v>142.63638783242055</v>
      </c>
      <c r="J37" s="32">
        <f t="shared" si="33"/>
        <v>133.2577397012094</v>
      </c>
      <c r="K37" s="32">
        <f t="shared" si="33"/>
        <v>107.1690454033069</v>
      </c>
      <c r="L37" s="32">
        <f t="shared" si="33"/>
        <v>68.933178372561159</v>
      </c>
      <c r="M37" s="32">
        <f t="shared" si="33"/>
        <v>50.75454868202403</v>
      </c>
      <c r="N37" s="32">
        <f t="shared" si="33"/>
        <v>40.549213152437446</v>
      </c>
      <c r="O37" s="32">
        <f t="shared" si="33"/>
        <v>34.157468068847635</v>
      </c>
      <c r="P37" s="32">
        <f t="shared" si="33"/>
        <v>29.819836895032211</v>
      </c>
      <c r="Q37" s="32">
        <f t="shared" si="33"/>
        <v>26.681513774935382</v>
      </c>
      <c r="R37" s="32">
        <f t="shared" si="33"/>
        <v>74.203857868938513</v>
      </c>
      <c r="S37" s="32">
        <f t="shared" si="33"/>
        <v>100.03804017502553</v>
      </c>
      <c r="T37" s="32">
        <f t="shared" si="33"/>
        <v>112.92793818211042</v>
      </c>
      <c r="U37" s="477">
        <f t="shared" si="31"/>
        <v>112.92793818211042</v>
      </c>
    </row>
    <row r="38" spans="1:21" x14ac:dyDescent="0.3">
      <c r="A38" s="24">
        <f t="shared" si="26"/>
        <v>4.1666666666666664E-2</v>
      </c>
      <c r="B38" s="465" t="s">
        <v>39</v>
      </c>
      <c r="C38" s="32">
        <f t="shared" si="32"/>
        <v>-150</v>
      </c>
      <c r="D38" s="32">
        <f t="shared" si="28"/>
        <v>-25.112719097461781</v>
      </c>
      <c r="E38" s="32">
        <f t="shared" si="29"/>
        <v>102.32947211600214</v>
      </c>
      <c r="F38" s="32">
        <f t="shared" si="33"/>
        <v>104.02311867647107</v>
      </c>
      <c r="G38" s="32">
        <f t="shared" si="33"/>
        <v>79.007110382447465</v>
      </c>
      <c r="H38" s="32">
        <f t="shared" si="33"/>
        <v>93.593037054319012</v>
      </c>
      <c r="I38" s="32">
        <f t="shared" si="33"/>
        <v>90.258468769345555</v>
      </c>
      <c r="J38" s="32">
        <f t="shared" si="33"/>
        <v>97.077769513380005</v>
      </c>
      <c r="K38" s="32">
        <f t="shared" si="33"/>
        <v>92.471747386129067</v>
      </c>
      <c r="L38" s="32">
        <f t="shared" si="33"/>
        <v>68.766493176549417</v>
      </c>
      <c r="M38" s="32">
        <f t="shared" si="33"/>
        <v>55.505038177050565</v>
      </c>
      <c r="N38" s="32">
        <f t="shared" si="33"/>
        <v>46.667579213336715</v>
      </c>
      <c r="O38" s="32">
        <f t="shared" si="33"/>
        <v>40.22653609955713</v>
      </c>
      <c r="P38" s="32">
        <f t="shared" si="33"/>
        <v>35.291218606331846</v>
      </c>
      <c r="Q38" s="32">
        <f t="shared" si="33"/>
        <v>31.386190537446698</v>
      </c>
      <c r="R38" s="32">
        <f t="shared" si="33"/>
        <v>84.90570519049551</v>
      </c>
      <c r="S38" s="32">
        <f t="shared" si="33"/>
        <v>108.03751615306602</v>
      </c>
      <c r="T38" s="32">
        <f t="shared" si="33"/>
        <v>115.91642510249093</v>
      </c>
      <c r="U38" s="477">
        <f t="shared" si="31"/>
        <v>115.91642510249093</v>
      </c>
    </row>
    <row r="39" spans="1:21" x14ac:dyDescent="0.3">
      <c r="A39" s="24">
        <f t="shared" si="26"/>
        <v>4.1666666666666664E-2</v>
      </c>
      <c r="B39" s="481" t="s">
        <v>33</v>
      </c>
      <c r="C39" s="32">
        <f t="shared" si="32"/>
        <v>-71.730214238474787</v>
      </c>
      <c r="D39" s="32">
        <f t="shared" si="28"/>
        <v>138.20270484156609</v>
      </c>
      <c r="E39" s="32">
        <f t="shared" si="29"/>
        <v>169.67814365955419</v>
      </c>
      <c r="F39" s="32">
        <f t="shared" si="33"/>
        <v>140.31349745665014</v>
      </c>
      <c r="G39" s="32">
        <f t="shared" si="33"/>
        <v>100.99551450520266</v>
      </c>
      <c r="H39" s="32">
        <f t="shared" si="33"/>
        <v>117.40827428159263</v>
      </c>
      <c r="I39" s="32">
        <f t="shared" si="33"/>
        <v>112.77505080885223</v>
      </c>
      <c r="J39" s="32">
        <f t="shared" si="33"/>
        <v>121.55873649871361</v>
      </c>
      <c r="K39" s="32">
        <f t="shared" si="33"/>
        <v>115.66119765859803</v>
      </c>
      <c r="L39" s="32">
        <f t="shared" si="33"/>
        <v>85.514875242888991</v>
      </c>
      <c r="M39" s="32">
        <f t="shared" si="33"/>
        <v>68.618702803702178</v>
      </c>
      <c r="N39" s="32">
        <f t="shared" si="33"/>
        <v>57.436791215036422</v>
      </c>
      <c r="O39" s="32">
        <f t="shared" si="33"/>
        <v>49.354874630843369</v>
      </c>
      <c r="P39" s="32">
        <f t="shared" si="33"/>
        <v>43.206222525435116</v>
      </c>
      <c r="Q39" s="32">
        <f t="shared" si="33"/>
        <v>38.367820864484408</v>
      </c>
      <c r="R39" s="32">
        <f t="shared" si="33"/>
        <v>103.61146909861681</v>
      </c>
      <c r="S39" s="32">
        <f t="shared" si="33"/>
        <v>131.63226596116374</v>
      </c>
      <c r="T39" s="32">
        <f t="shared" si="33"/>
        <v>141.09682882190023</v>
      </c>
      <c r="U39" s="477">
        <f t="shared" si="31"/>
        <v>141.09682882190023</v>
      </c>
    </row>
    <row r="40" spans="1:21" x14ac:dyDescent="0.3">
      <c r="A40" s="24">
        <f t="shared" si="26"/>
        <v>4.1666666666666664E-2</v>
      </c>
      <c r="B40" s="482" t="s">
        <v>52</v>
      </c>
      <c r="C40" s="478">
        <f t="shared" si="32"/>
        <v>435.25721518215789</v>
      </c>
      <c r="D40" s="478">
        <f t="shared" si="28"/>
        <v>750.27694041867926</v>
      </c>
      <c r="E40" s="478">
        <f t="shared" si="29"/>
        <v>394.02843212719529</v>
      </c>
      <c r="F40" s="478">
        <f t="shared" si="33"/>
        <v>239.02222621046886</v>
      </c>
      <c r="G40" s="478">
        <f t="shared" si="33"/>
        <v>147.66998807512334</v>
      </c>
      <c r="H40" s="478">
        <f t="shared" si="33"/>
        <v>152.40139615265903</v>
      </c>
      <c r="I40" s="478">
        <f t="shared" si="33"/>
        <v>128.49829845713396</v>
      </c>
      <c r="J40" s="478">
        <f t="shared" si="33"/>
        <v>117.54009454745048</v>
      </c>
      <c r="K40" s="478">
        <f t="shared" si="33"/>
        <v>91.954366855280909</v>
      </c>
      <c r="L40" s="478">
        <f t="shared" si="33"/>
        <v>57.770368414935042</v>
      </c>
      <c r="M40" s="478">
        <f t="shared" si="33"/>
        <v>41.932930772672556</v>
      </c>
      <c r="N40" s="478">
        <f t="shared" si="33"/>
        <v>33.267765716955843</v>
      </c>
      <c r="O40" s="478">
        <f t="shared" si="33"/>
        <v>27.970757914145047</v>
      </c>
      <c r="P40" s="478">
        <f t="shared" si="33"/>
        <v>24.451977920441792</v>
      </c>
      <c r="Q40" s="478">
        <f t="shared" si="33"/>
        <v>21.948682277534953</v>
      </c>
      <c r="R40" s="478">
        <f t="shared" si="33"/>
        <v>61.554984474831777</v>
      </c>
      <c r="S40" s="478">
        <f t="shared" si="33"/>
        <v>84.174882369992957</v>
      </c>
      <c r="T40" s="478">
        <f t="shared" si="33"/>
        <v>96.091194253831318</v>
      </c>
      <c r="U40" s="479">
        <f t="shared" si="31"/>
        <v>96.091194253831318</v>
      </c>
    </row>
    <row r="41" spans="1:21" x14ac:dyDescent="0.3">
      <c r="A41" s="24"/>
      <c r="B41" s="30"/>
      <c r="C41" s="29"/>
      <c r="D41" s="29"/>
      <c r="E41" s="29"/>
      <c r="F41" s="29"/>
      <c r="G41" s="29"/>
      <c r="H41" s="29"/>
      <c r="I41" s="29"/>
      <c r="J41" s="29"/>
      <c r="K41" s="29"/>
      <c r="L41" s="29"/>
      <c r="M41" s="29"/>
      <c r="N41" s="29"/>
      <c r="O41" s="29"/>
      <c r="P41" s="29"/>
      <c r="Q41" s="29"/>
      <c r="R41" s="29"/>
      <c r="S41" s="29"/>
      <c r="T41" s="29"/>
      <c r="U41" s="29"/>
    </row>
    <row r="42" spans="1:21" ht="15" customHeight="1" x14ac:dyDescent="0.3">
      <c r="B42" s="512" t="s">
        <v>243</v>
      </c>
      <c r="C42" s="247" t="s">
        <v>0</v>
      </c>
      <c r="D42" s="247" t="s">
        <v>51</v>
      </c>
      <c r="E42" s="248" t="s">
        <v>3</v>
      </c>
      <c r="F42" s="247" t="s">
        <v>4</v>
      </c>
      <c r="G42" s="248" t="s">
        <v>5</v>
      </c>
      <c r="H42" s="248" t="s">
        <v>6</v>
      </c>
      <c r="I42" s="247" t="s">
        <v>19</v>
      </c>
      <c r="J42" s="248" t="s">
        <v>20</v>
      </c>
      <c r="K42" s="247" t="s">
        <v>21</v>
      </c>
      <c r="L42" s="247" t="s">
        <v>22</v>
      </c>
      <c r="M42" s="247" t="s">
        <v>23</v>
      </c>
      <c r="N42" s="247" t="s">
        <v>24</v>
      </c>
      <c r="O42" s="247" t="s">
        <v>25</v>
      </c>
      <c r="P42" s="247" t="s">
        <v>26</v>
      </c>
      <c r="Q42" s="247" t="s">
        <v>27</v>
      </c>
      <c r="R42" s="248" t="s">
        <v>28</v>
      </c>
      <c r="S42" s="247" t="s">
        <v>29</v>
      </c>
      <c r="T42" s="247" t="s">
        <v>30</v>
      </c>
      <c r="U42" s="249" t="s">
        <v>31</v>
      </c>
    </row>
    <row r="43" spans="1:21" x14ac:dyDescent="0.3">
      <c r="A43" s="24">
        <f t="shared" ref="A43:A49" si="34">1/2/12</f>
        <v>4.1666666666666664E-2</v>
      </c>
      <c r="B43" s="463" t="s">
        <v>18</v>
      </c>
      <c r="C43" s="28">
        <f t="shared" ref="C43:U43" si="35">$C$4+C34</f>
        <v>455.51612455330587</v>
      </c>
      <c r="D43" s="28">
        <f t="shared" si="35"/>
        <v>489.43884521143661</v>
      </c>
      <c r="E43" s="28">
        <f t="shared" si="35"/>
        <v>583.72630181193199</v>
      </c>
      <c r="F43" s="28">
        <f t="shared" si="35"/>
        <v>700.31055249970098</v>
      </c>
      <c r="G43" s="28">
        <f t="shared" si="35"/>
        <v>792.06326960232809</v>
      </c>
      <c r="H43" s="28">
        <f t="shared" si="35"/>
        <v>848.81361482823479</v>
      </c>
      <c r="I43" s="28">
        <f t="shared" si="35"/>
        <v>894.22612230778839</v>
      </c>
      <c r="J43" s="28">
        <f t="shared" si="35"/>
        <v>915.96873916492484</v>
      </c>
      <c r="K43" s="28">
        <f t="shared" si="35"/>
        <v>916.80660588209446</v>
      </c>
      <c r="L43" s="28">
        <f t="shared" si="35"/>
        <v>904.75111614094919</v>
      </c>
      <c r="M43" s="28">
        <f t="shared" si="35"/>
        <v>893.6651168392998</v>
      </c>
      <c r="N43" s="28">
        <f t="shared" si="35"/>
        <v>885.81898951418623</v>
      </c>
      <c r="O43" s="28">
        <f t="shared" si="35"/>
        <v>880.65702749516026</v>
      </c>
      <c r="P43" s="28">
        <f t="shared" si="35"/>
        <v>877.45547346313515</v>
      </c>
      <c r="Q43" s="28">
        <f t="shared" si="35"/>
        <v>875.6623644321262</v>
      </c>
      <c r="R43" s="28">
        <f t="shared" si="35"/>
        <v>874.8820922729368</v>
      </c>
      <c r="S43" s="28">
        <f t="shared" si="35"/>
        <v>876.12844718774249</v>
      </c>
      <c r="T43" s="28">
        <f t="shared" si="35"/>
        <v>882.63163164035404</v>
      </c>
      <c r="U43" s="27">
        <f t="shared" si="35"/>
        <v>892.26890897844089</v>
      </c>
    </row>
    <row r="44" spans="1:21" x14ac:dyDescent="0.3">
      <c r="A44" s="24">
        <f t="shared" si="34"/>
        <v>4.1666666666666664E-2</v>
      </c>
      <c r="B44" s="480" t="s">
        <v>40</v>
      </c>
      <c r="C44" s="26">
        <f>C35+$C$4</f>
        <v>705.51612455330587</v>
      </c>
      <c r="D44" s="26">
        <f t="shared" ref="D44:U44" si="36">D35+$C$4</f>
        <v>1035.7758234438722</v>
      </c>
      <c r="E44" s="26">
        <f>E35+$C$4</f>
        <v>703.53768592838685</v>
      </c>
      <c r="F44" s="26">
        <f t="shared" si="36"/>
        <v>554.6970208782185</v>
      </c>
      <c r="G44" s="26">
        <f t="shared" si="36"/>
        <v>463.41449977335265</v>
      </c>
      <c r="H44" s="26">
        <f t="shared" si="36"/>
        <v>476.85500700641086</v>
      </c>
      <c r="I44" s="26">
        <f t="shared" si="36"/>
        <v>459.87687649120846</v>
      </c>
      <c r="J44" s="26">
        <f t="shared" si="36"/>
        <v>461.69930623978587</v>
      </c>
      <c r="K44" s="26">
        <f t="shared" si="36"/>
        <v>443.24984458504326</v>
      </c>
      <c r="L44" s="26">
        <f t="shared" si="36"/>
        <v>399.87087019621606</v>
      </c>
      <c r="M44" s="26">
        <f t="shared" si="36"/>
        <v>377.2572646463845</v>
      </c>
      <c r="N44" s="26">
        <f t="shared" si="36"/>
        <v>363.34905445121672</v>
      </c>
      <c r="O44" s="26">
        <f t="shared" si="36"/>
        <v>353.8956360035582</v>
      </c>
      <c r="P44" s="26">
        <f t="shared" si="36"/>
        <v>347.03201048079058</v>
      </c>
      <c r="Q44" s="26">
        <f t="shared" si="36"/>
        <v>341.8072192709925</v>
      </c>
      <c r="R44" s="26">
        <f t="shared" si="36"/>
        <v>413.84118799576328</v>
      </c>
      <c r="S44" s="26">
        <f t="shared" si="36"/>
        <v>447.46722635437084</v>
      </c>
      <c r="T44" s="26">
        <f t="shared" si="36"/>
        <v>460.95373327479211</v>
      </c>
      <c r="U44" s="25">
        <f t="shared" si="36"/>
        <v>460.95373327479211</v>
      </c>
    </row>
    <row r="45" spans="1:21" x14ac:dyDescent="0.3">
      <c r="A45" s="24">
        <f t="shared" si="34"/>
        <v>4.1666666666666664E-2</v>
      </c>
      <c r="B45" s="480" t="s">
        <v>41</v>
      </c>
      <c r="C45" s="26">
        <f t="shared" ref="C45:U49" si="37">C36+$C$4</f>
        <v>205.5161245533059</v>
      </c>
      <c r="D45" s="26">
        <f t="shared" si="37"/>
        <v>384.85483737786319</v>
      </c>
      <c r="E45" s="26">
        <f t="shared" si="37"/>
        <v>432.20133145793875</v>
      </c>
      <c r="F45" s="26">
        <f t="shared" si="37"/>
        <v>409.93219357713468</v>
      </c>
      <c r="G45" s="26">
        <f t="shared" si="37"/>
        <v>376.55560339270164</v>
      </c>
      <c r="H45" s="26">
        <f t="shared" si="37"/>
        <v>383.79190374142917</v>
      </c>
      <c r="I45" s="26">
        <f t="shared" si="37"/>
        <v>373.01798011055791</v>
      </c>
      <c r="J45" s="26">
        <f t="shared" si="37"/>
        <v>368.63620297480355</v>
      </c>
      <c r="K45" s="26">
        <f t="shared" si="37"/>
        <v>356.39094820439283</v>
      </c>
      <c r="L45" s="26">
        <f t="shared" si="37"/>
        <v>337.82880135289457</v>
      </c>
      <c r="M45" s="26">
        <f t="shared" si="37"/>
        <v>329.00232221268999</v>
      </c>
      <c r="N45" s="26">
        <f t="shared" si="37"/>
        <v>323.86773791455738</v>
      </c>
      <c r="O45" s="26">
        <f t="shared" si="37"/>
        <v>320.48836816484663</v>
      </c>
      <c r="P45" s="26">
        <f t="shared" si="37"/>
        <v>318.07904502057369</v>
      </c>
      <c r="Q45" s="26">
        <f t="shared" si="37"/>
        <v>316.26048504138947</v>
      </c>
      <c r="R45" s="26">
        <f t="shared" si="37"/>
        <v>345.26837506367087</v>
      </c>
      <c r="S45" s="26">
        <f t="shared" si="37"/>
        <v>360.60832997372057</v>
      </c>
      <c r="T45" s="26">
        <f t="shared" si="37"/>
        <v>367.89063000980946</v>
      </c>
      <c r="U45" s="25">
        <f t="shared" si="37"/>
        <v>367.89063000980946</v>
      </c>
    </row>
    <row r="46" spans="1:21" x14ac:dyDescent="0.3">
      <c r="A46" s="24">
        <f t="shared" si="34"/>
        <v>4.1666666666666664E-2</v>
      </c>
      <c r="B46" s="465" t="s">
        <v>38</v>
      </c>
      <c r="C46" s="26">
        <f t="shared" si="37"/>
        <v>805.271210283301</v>
      </c>
      <c r="D46" s="26">
        <f t="shared" si="37"/>
        <v>1142.7331293970669</v>
      </c>
      <c r="E46" s="26">
        <f t="shared" si="37"/>
        <v>733.40954527032272</v>
      </c>
      <c r="F46" s="26">
        <f t="shared" si="37"/>
        <v>560.60609577888181</v>
      </c>
      <c r="G46" s="26">
        <f t="shared" si="37"/>
        <v>460.96299278360738</v>
      </c>
      <c r="H46" s="26">
        <f t="shared" si="37"/>
        <v>467.05387369352127</v>
      </c>
      <c r="I46" s="26">
        <f t="shared" si="37"/>
        <v>442.63638783242055</v>
      </c>
      <c r="J46" s="26">
        <f t="shared" si="37"/>
        <v>433.2577397012094</v>
      </c>
      <c r="K46" s="26">
        <f t="shared" si="37"/>
        <v>407.16904540330688</v>
      </c>
      <c r="L46" s="26">
        <f t="shared" si="37"/>
        <v>368.93317837256114</v>
      </c>
      <c r="M46" s="26">
        <f t="shared" si="37"/>
        <v>350.75454868202405</v>
      </c>
      <c r="N46" s="26">
        <f t="shared" si="37"/>
        <v>340.54921315243746</v>
      </c>
      <c r="O46" s="26">
        <f t="shared" si="37"/>
        <v>334.15746806884761</v>
      </c>
      <c r="P46" s="26">
        <f t="shared" si="37"/>
        <v>329.81983689503221</v>
      </c>
      <c r="Q46" s="26">
        <f t="shared" si="37"/>
        <v>326.68151377493541</v>
      </c>
      <c r="R46" s="26">
        <f t="shared" si="37"/>
        <v>374.20385786893848</v>
      </c>
      <c r="S46" s="26">
        <f t="shared" si="37"/>
        <v>400.03804017502551</v>
      </c>
      <c r="T46" s="26">
        <f t="shared" si="37"/>
        <v>412.92793818211044</v>
      </c>
      <c r="U46" s="25">
        <f t="shared" si="37"/>
        <v>412.92793818211044</v>
      </c>
    </row>
    <row r="47" spans="1:21" x14ac:dyDescent="0.3">
      <c r="A47" s="24">
        <f t="shared" si="34"/>
        <v>4.1666666666666664E-2</v>
      </c>
      <c r="B47" s="465" t="s">
        <v>39</v>
      </c>
      <c r="C47" s="26">
        <f t="shared" si="37"/>
        <v>150</v>
      </c>
      <c r="D47" s="26">
        <f t="shared" si="37"/>
        <v>274.88728090253824</v>
      </c>
      <c r="E47" s="26">
        <f t="shared" si="37"/>
        <v>402.32947211600214</v>
      </c>
      <c r="F47" s="26">
        <f t="shared" si="37"/>
        <v>404.02311867647109</v>
      </c>
      <c r="G47" s="26">
        <f t="shared" si="37"/>
        <v>379.00711038244748</v>
      </c>
      <c r="H47" s="26">
        <f t="shared" si="37"/>
        <v>393.59303705431898</v>
      </c>
      <c r="I47" s="26">
        <f t="shared" si="37"/>
        <v>390.25846876934554</v>
      </c>
      <c r="J47" s="26">
        <f t="shared" si="37"/>
        <v>397.07776951338002</v>
      </c>
      <c r="K47" s="26">
        <f t="shared" si="37"/>
        <v>392.4717473861291</v>
      </c>
      <c r="L47" s="26">
        <f t="shared" si="37"/>
        <v>368.76649317654943</v>
      </c>
      <c r="M47" s="26">
        <f t="shared" si="37"/>
        <v>355.50503817705055</v>
      </c>
      <c r="N47" s="26">
        <f t="shared" si="37"/>
        <v>346.66757921333669</v>
      </c>
      <c r="O47" s="26">
        <f t="shared" si="37"/>
        <v>340.22653609955711</v>
      </c>
      <c r="P47" s="26">
        <f t="shared" si="37"/>
        <v>335.29121860633182</v>
      </c>
      <c r="Q47" s="26">
        <f t="shared" si="37"/>
        <v>331.38619053744668</v>
      </c>
      <c r="R47" s="26">
        <f t="shared" si="37"/>
        <v>384.9057051904955</v>
      </c>
      <c r="S47" s="26">
        <f t="shared" si="37"/>
        <v>408.03751615306601</v>
      </c>
      <c r="T47" s="26">
        <f t="shared" si="37"/>
        <v>415.91642510249096</v>
      </c>
      <c r="U47" s="25">
        <f t="shared" si="37"/>
        <v>415.91642510249096</v>
      </c>
    </row>
    <row r="48" spans="1:21" x14ac:dyDescent="0.3">
      <c r="A48" s="24">
        <f t="shared" si="34"/>
        <v>4.1666666666666664E-2</v>
      </c>
      <c r="B48" s="481" t="s">
        <v>33</v>
      </c>
      <c r="C48" s="26">
        <f t="shared" si="37"/>
        <v>228.26978576152521</v>
      </c>
      <c r="D48" s="26">
        <f t="shared" si="37"/>
        <v>438.20270484156606</v>
      </c>
      <c r="E48" s="26">
        <f t="shared" si="37"/>
        <v>469.67814365955417</v>
      </c>
      <c r="F48" s="26">
        <f t="shared" si="37"/>
        <v>440.31349745665011</v>
      </c>
      <c r="G48" s="26">
        <f t="shared" si="37"/>
        <v>400.99551450520266</v>
      </c>
      <c r="H48" s="26">
        <f t="shared" si="37"/>
        <v>417.40827428159264</v>
      </c>
      <c r="I48" s="26">
        <f t="shared" si="37"/>
        <v>412.77505080885226</v>
      </c>
      <c r="J48" s="26">
        <f t="shared" si="37"/>
        <v>421.55873649871364</v>
      </c>
      <c r="K48" s="26">
        <f t="shared" si="37"/>
        <v>415.66119765859804</v>
      </c>
      <c r="L48" s="26">
        <f t="shared" si="37"/>
        <v>385.51487524288899</v>
      </c>
      <c r="M48" s="26">
        <f t="shared" si="37"/>
        <v>368.61870280370215</v>
      </c>
      <c r="N48" s="26">
        <f t="shared" si="37"/>
        <v>357.43679121503641</v>
      </c>
      <c r="O48" s="26">
        <f t="shared" si="37"/>
        <v>349.35487463084337</v>
      </c>
      <c r="P48" s="26">
        <f t="shared" si="37"/>
        <v>343.20622252543512</v>
      </c>
      <c r="Q48" s="26">
        <f t="shared" si="37"/>
        <v>338.36782086448443</v>
      </c>
      <c r="R48" s="26">
        <f t="shared" si="37"/>
        <v>403.61146909861679</v>
      </c>
      <c r="S48" s="26">
        <f t="shared" si="37"/>
        <v>431.63226596116374</v>
      </c>
      <c r="T48" s="26">
        <f t="shared" si="37"/>
        <v>441.0968288219002</v>
      </c>
      <c r="U48" s="25">
        <f t="shared" si="37"/>
        <v>441.0968288219002</v>
      </c>
    </row>
    <row r="49" spans="1:24" x14ac:dyDescent="0.3">
      <c r="A49" s="24">
        <f t="shared" si="34"/>
        <v>4.1666666666666664E-2</v>
      </c>
      <c r="B49" s="482" t="s">
        <v>52</v>
      </c>
      <c r="C49" s="23">
        <f t="shared" si="37"/>
        <v>735.25721518215789</v>
      </c>
      <c r="D49" s="23">
        <f t="shared" si="37"/>
        <v>1050.2769404186793</v>
      </c>
      <c r="E49" s="23">
        <f t="shared" si="37"/>
        <v>694.02843212719529</v>
      </c>
      <c r="F49" s="23">
        <f t="shared" si="37"/>
        <v>539.02222621046883</v>
      </c>
      <c r="G49" s="23">
        <f t="shared" si="37"/>
        <v>447.66998807512334</v>
      </c>
      <c r="H49" s="23">
        <f t="shared" si="37"/>
        <v>452.401396152659</v>
      </c>
      <c r="I49" s="23">
        <f t="shared" si="37"/>
        <v>428.49829845713396</v>
      </c>
      <c r="J49" s="23">
        <f t="shared" si="37"/>
        <v>417.54009454745051</v>
      </c>
      <c r="K49" s="23">
        <f t="shared" si="37"/>
        <v>391.95436685528091</v>
      </c>
      <c r="L49" s="23">
        <f t="shared" si="37"/>
        <v>357.77036841493504</v>
      </c>
      <c r="M49" s="23">
        <f t="shared" si="37"/>
        <v>341.93293077267253</v>
      </c>
      <c r="N49" s="23">
        <f t="shared" si="37"/>
        <v>333.26776571695586</v>
      </c>
      <c r="O49" s="23">
        <f t="shared" si="37"/>
        <v>327.97075791414505</v>
      </c>
      <c r="P49" s="23">
        <f t="shared" si="37"/>
        <v>324.45197792044178</v>
      </c>
      <c r="Q49" s="23">
        <f t="shared" si="37"/>
        <v>321.94868227753494</v>
      </c>
      <c r="R49" s="23">
        <f t="shared" si="37"/>
        <v>361.55498447483177</v>
      </c>
      <c r="S49" s="23">
        <f t="shared" si="37"/>
        <v>384.17488236999293</v>
      </c>
      <c r="T49" s="23">
        <f t="shared" si="37"/>
        <v>396.0911942538313</v>
      </c>
      <c r="U49" s="22">
        <f t="shared" si="37"/>
        <v>396.0911942538313</v>
      </c>
    </row>
    <row r="50" spans="1:24" x14ac:dyDescent="0.3">
      <c r="B50" s="550"/>
      <c r="C50" s="21">
        <f t="shared" ref="C50:I50" si="38">$E$51</f>
        <v>350</v>
      </c>
      <c r="D50" s="21">
        <f t="shared" si="38"/>
        <v>350</v>
      </c>
      <c r="E50" s="21">
        <f t="shared" si="38"/>
        <v>350</v>
      </c>
      <c r="F50" s="21">
        <f t="shared" si="38"/>
        <v>350</v>
      </c>
      <c r="G50" s="21">
        <f t="shared" si="38"/>
        <v>350</v>
      </c>
      <c r="H50" s="21">
        <f t="shared" si="38"/>
        <v>350</v>
      </c>
      <c r="I50" s="21">
        <f t="shared" si="38"/>
        <v>350</v>
      </c>
    </row>
    <row r="51" spans="1:24" x14ac:dyDescent="0.3">
      <c r="B51" s="512" t="s">
        <v>197</v>
      </c>
      <c r="C51" s="598" t="s">
        <v>206</v>
      </c>
      <c r="D51" s="599"/>
      <c r="E51" s="598">
        <v>350</v>
      </c>
      <c r="F51" s="599"/>
      <c r="G51" s="600"/>
      <c r="H51" s="601"/>
      <c r="I51" s="601"/>
      <c r="J51" s="601"/>
    </row>
    <row r="52" spans="1:24" ht="21.6" x14ac:dyDescent="0.3">
      <c r="B52" s="463" t="s">
        <v>229</v>
      </c>
      <c r="C52" s="247" t="s">
        <v>0</v>
      </c>
      <c r="D52" s="247" t="s">
        <v>51</v>
      </c>
      <c r="E52" s="248" t="s">
        <v>3</v>
      </c>
      <c r="F52" s="247" t="s">
        <v>4</v>
      </c>
      <c r="G52" s="248" t="s">
        <v>5</v>
      </c>
      <c r="H52" s="248" t="s">
        <v>6</v>
      </c>
      <c r="I52" s="247" t="s">
        <v>19</v>
      </c>
      <c r="J52" s="248" t="s">
        <v>20</v>
      </c>
      <c r="K52" s="247" t="s">
        <v>21</v>
      </c>
      <c r="L52" s="247" t="s">
        <v>22</v>
      </c>
      <c r="M52" s="247" t="s">
        <v>23</v>
      </c>
      <c r="N52" s="247" t="s">
        <v>24</v>
      </c>
      <c r="O52" s="247" t="s">
        <v>25</v>
      </c>
      <c r="P52" s="247" t="s">
        <v>26</v>
      </c>
      <c r="Q52" s="247" t="s">
        <v>27</v>
      </c>
      <c r="R52" s="248" t="s">
        <v>28</v>
      </c>
      <c r="S52" s="247" t="s">
        <v>29</v>
      </c>
      <c r="T52" s="247" t="s">
        <v>30</v>
      </c>
      <c r="U52" s="249" t="s">
        <v>31</v>
      </c>
      <c r="V52" s="519" t="s">
        <v>260</v>
      </c>
      <c r="W52" s="604"/>
    </row>
    <row r="53" spans="1:24" s="6" customFormat="1" ht="17.399999999999999" customHeight="1" x14ac:dyDescent="0.25">
      <c r="A53" s="1"/>
      <c r="B53" s="463" t="s">
        <v>222</v>
      </c>
      <c r="C53" s="484"/>
      <c r="D53" s="485">
        <v>8.33</v>
      </c>
      <c r="E53" s="485">
        <v>16.670000000000002</v>
      </c>
      <c r="F53" s="485">
        <v>25</v>
      </c>
      <c r="G53" s="485">
        <v>25</v>
      </c>
      <c r="H53" s="485">
        <v>25</v>
      </c>
      <c r="I53" s="485">
        <v>50</v>
      </c>
      <c r="J53" s="485">
        <v>50</v>
      </c>
      <c r="K53" s="485">
        <v>100</v>
      </c>
      <c r="L53" s="485">
        <v>100</v>
      </c>
      <c r="M53" s="485">
        <v>100</v>
      </c>
      <c r="N53" s="486"/>
      <c r="O53" s="486"/>
      <c r="P53" s="486"/>
      <c r="Q53" s="486"/>
      <c r="R53" s="486"/>
      <c r="S53" s="486"/>
      <c r="T53" s="486"/>
      <c r="U53" s="486"/>
      <c r="V53" s="522">
        <f>SUMPRODUCT(D53:M53,D25:M25)</f>
        <v>432.11377550921202</v>
      </c>
      <c r="W53" s="604"/>
    </row>
    <row r="54" spans="1:24" s="6" customFormat="1" ht="17.399999999999999" customHeight="1" x14ac:dyDescent="0.25">
      <c r="A54" s="605"/>
      <c r="B54" s="463" t="s">
        <v>223</v>
      </c>
      <c r="C54" s="63"/>
      <c r="D54" s="64">
        <f t="shared" ref="D54:D60" si="39">IF(SUM($C54:$C54)&gt;=SUM($D$53:$M$53),0,IF(D43&gt;$E$51,D$53,IF(D43&lt;$E$51,(SUM($D$53:$M$53)-SUM($C54:$C54)))))</f>
        <v>8.33</v>
      </c>
      <c r="E54" s="64">
        <f t="shared" ref="E54:E60" si="40">IF(SUM($C54:$D54)&gt;=SUM($D$53:$M$53),0,IF(E43&gt;$E$51,E$53,IF(E43&lt;$E$51,(SUM($D$53:$M$53)-SUM($C54:$D54)))))</f>
        <v>16.670000000000002</v>
      </c>
      <c r="F54" s="64">
        <f t="shared" ref="F54:F60" si="41">IF(SUM($C54:$E54)&gt;=SUM($D$53:$M$53),0,IF(F43&gt;$E$51,F$53,IF(F43&lt;$E$51,(SUM($D$53:$M$53)-SUM($C54:$E54)))))</f>
        <v>25</v>
      </c>
      <c r="G54" s="64">
        <f t="shared" ref="G54:G60" si="42">IF(SUM($C54:$F54)&gt;=SUM($D$53:$M$53),0,IF(G43&gt;$E$51,G$53,IF(G43&lt;$E$51,(SUM($D$53:$M$53)-SUM($C54:$F54)))))</f>
        <v>25</v>
      </c>
      <c r="H54" s="64">
        <f t="shared" ref="H54:H60" si="43">IF(SUM($C54:$G54)&gt;=SUM($D$53:$M$53),0,IF(H43&gt;$E$51,H$53,IF(H43&lt;$E$51,(SUM($D$53:$M$53)-SUM($C54:$G54)))))</f>
        <v>25</v>
      </c>
      <c r="I54" s="64">
        <f t="shared" ref="I54:I60" si="44">IF(SUM($C54:$H54)&gt;=SUM($D$53:$M$53),0,IF(I43&gt;$E$51,I$53,IF(I43&lt;$E$51,(SUM($D$53:$M$53)-SUM($C54:$H54)))))</f>
        <v>50</v>
      </c>
      <c r="J54" s="64">
        <f t="shared" ref="J54:J60" si="45">IF(SUM($C54:$I54)&gt;=SUM($D$53:$M$53),0,IF(J43&gt;$E$51,J$53,IF(J43&lt;$E$51,(SUM($D$53:$M$53)-SUM($C54:$I54)))))</f>
        <v>50</v>
      </c>
      <c r="K54" s="64">
        <f t="shared" ref="K54:K60" si="46">IF(SUM($C54:$J54)&gt;=SUM($D$53:$M$53),0,IF(K43&gt;$E$51,K$53,IF(K43&lt;$E$51,(SUM($D$53:$M$53)-SUM($C54:$J54)))))</f>
        <v>100</v>
      </c>
      <c r="L54" s="556">
        <f t="shared" ref="L54:L60" si="47">IF(SUM($C54:$K54)&gt;=SUM($D$53:$M$53),0,IF(L43&gt;$E$51,L$53,IF(L43&lt;$E$51,(SUM($D$53:$M$53)-SUM($C54:$K54)))))</f>
        <v>100</v>
      </c>
      <c r="M54" s="64">
        <f t="shared" ref="M54:M60" si="48">IF(SUM($C54:$L54)&gt;=SUM($D$53:$M$53),0,IF(M43&gt;$E$51,M$53,IF(M43&lt;$E$51,(SUM($D$53:$M$53)-SUM($C54:$L54)))))</f>
        <v>100</v>
      </c>
      <c r="V54" s="55">
        <f>SUMPRODUCT(D54:M54,D25:M25)</f>
        <v>432.11377550921202</v>
      </c>
    </row>
    <row r="55" spans="1:24" s="6" customFormat="1" ht="15" customHeight="1" x14ac:dyDescent="0.25">
      <c r="A55" s="605"/>
      <c r="B55" s="480" t="s">
        <v>220</v>
      </c>
      <c r="C55" s="20"/>
      <c r="D55" s="19">
        <f t="shared" si="39"/>
        <v>8.33</v>
      </c>
      <c r="E55" s="19">
        <f t="shared" si="40"/>
        <v>16.670000000000002</v>
      </c>
      <c r="F55" s="19">
        <f t="shared" si="41"/>
        <v>25</v>
      </c>
      <c r="G55" s="19">
        <f t="shared" si="42"/>
        <v>25</v>
      </c>
      <c r="H55" s="19">
        <f t="shared" si="43"/>
        <v>25</v>
      </c>
      <c r="I55" s="19">
        <f t="shared" si="44"/>
        <v>50</v>
      </c>
      <c r="J55" s="19">
        <f t="shared" si="45"/>
        <v>50</v>
      </c>
      <c r="K55" s="19">
        <f t="shared" si="46"/>
        <v>100</v>
      </c>
      <c r="L55" s="557">
        <f t="shared" si="47"/>
        <v>100</v>
      </c>
      <c r="M55" s="18">
        <f t="shared" si="48"/>
        <v>100</v>
      </c>
      <c r="V55" s="55">
        <f t="shared" ref="V55:V60" si="49">SUMPRODUCT(D55:M55,D26:M26)</f>
        <v>407.44650535456003</v>
      </c>
    </row>
    <row r="56" spans="1:24" s="6" customFormat="1" ht="15" customHeight="1" x14ac:dyDescent="0.25">
      <c r="A56" s="605"/>
      <c r="B56" s="480" t="s">
        <v>221</v>
      </c>
      <c r="C56" s="20"/>
      <c r="D56" s="19">
        <f t="shared" si="39"/>
        <v>8.33</v>
      </c>
      <c r="E56" s="19">
        <f t="shared" si="40"/>
        <v>16.670000000000002</v>
      </c>
      <c r="F56" s="19">
        <f t="shared" si="41"/>
        <v>25</v>
      </c>
      <c r="G56" s="19">
        <f t="shared" si="42"/>
        <v>25</v>
      </c>
      <c r="H56" s="19">
        <f t="shared" si="43"/>
        <v>25</v>
      </c>
      <c r="I56" s="19">
        <f t="shared" si="44"/>
        <v>50</v>
      </c>
      <c r="J56" s="19">
        <f t="shared" si="45"/>
        <v>50</v>
      </c>
      <c r="K56" s="19">
        <f t="shared" si="46"/>
        <v>100</v>
      </c>
      <c r="L56" s="557">
        <f t="shared" si="47"/>
        <v>200</v>
      </c>
      <c r="M56" s="18">
        <f t="shared" si="48"/>
        <v>0</v>
      </c>
      <c r="V56" s="55">
        <f t="shared" si="49"/>
        <v>461.50895452314381</v>
      </c>
    </row>
    <row r="57" spans="1:24" s="6" customFormat="1" ht="15" customHeight="1" x14ac:dyDescent="0.25">
      <c r="A57" s="605"/>
      <c r="B57" s="465" t="s">
        <v>215</v>
      </c>
      <c r="C57" s="20"/>
      <c r="D57" s="19">
        <f t="shared" si="39"/>
        <v>8.33</v>
      </c>
      <c r="E57" s="19">
        <f t="shared" si="40"/>
        <v>16.670000000000002</v>
      </c>
      <c r="F57" s="19">
        <f t="shared" si="41"/>
        <v>25</v>
      </c>
      <c r="G57" s="19">
        <f t="shared" si="42"/>
        <v>25</v>
      </c>
      <c r="H57" s="19">
        <f t="shared" si="43"/>
        <v>25</v>
      </c>
      <c r="I57" s="19">
        <f t="shared" si="44"/>
        <v>50</v>
      </c>
      <c r="J57" s="19">
        <f t="shared" si="45"/>
        <v>50</v>
      </c>
      <c r="K57" s="19">
        <f t="shared" si="46"/>
        <v>100</v>
      </c>
      <c r="L57" s="557">
        <f t="shared" si="47"/>
        <v>100</v>
      </c>
      <c r="M57" s="18">
        <f t="shared" si="48"/>
        <v>100</v>
      </c>
      <c r="V57" s="55">
        <f t="shared" si="49"/>
        <v>415.71861988113142</v>
      </c>
    </row>
    <row r="58" spans="1:24" s="6" customFormat="1" ht="15" customHeight="1" x14ac:dyDescent="0.25">
      <c r="A58" s="605"/>
      <c r="B58" s="465" t="s">
        <v>216</v>
      </c>
      <c r="C58" s="20"/>
      <c r="D58" s="19">
        <f t="shared" si="39"/>
        <v>500</v>
      </c>
      <c r="E58" s="19">
        <f t="shared" si="40"/>
        <v>0</v>
      </c>
      <c r="F58" s="19">
        <f t="shared" si="41"/>
        <v>0</v>
      </c>
      <c r="G58" s="19">
        <f t="shared" si="42"/>
        <v>0</v>
      </c>
      <c r="H58" s="19">
        <f t="shared" si="43"/>
        <v>0</v>
      </c>
      <c r="I58" s="19">
        <f t="shared" si="44"/>
        <v>0</v>
      </c>
      <c r="J58" s="19">
        <f t="shared" si="45"/>
        <v>0</v>
      </c>
      <c r="K58" s="19">
        <f t="shared" si="46"/>
        <v>0</v>
      </c>
      <c r="L58" s="557">
        <f t="shared" si="47"/>
        <v>0</v>
      </c>
      <c r="M58" s="18">
        <f t="shared" si="48"/>
        <v>0</v>
      </c>
      <c r="V58" s="55">
        <f>SUMPRODUCT(D58:M58,D29:M29)</f>
        <v>500.31284783295962</v>
      </c>
    </row>
    <row r="59" spans="1:24" s="6" customFormat="1" ht="15" customHeight="1" x14ac:dyDescent="0.25">
      <c r="A59" s="605"/>
      <c r="B59" s="481" t="s">
        <v>217</v>
      </c>
      <c r="C59" s="20"/>
      <c r="D59" s="19">
        <f t="shared" si="39"/>
        <v>8.33</v>
      </c>
      <c r="E59" s="19">
        <f t="shared" si="40"/>
        <v>16.670000000000002</v>
      </c>
      <c r="F59" s="19">
        <f t="shared" si="41"/>
        <v>25</v>
      </c>
      <c r="G59" s="19">
        <f t="shared" si="42"/>
        <v>25</v>
      </c>
      <c r="H59" s="19">
        <f t="shared" si="43"/>
        <v>25</v>
      </c>
      <c r="I59" s="19">
        <f t="shared" si="44"/>
        <v>50</v>
      </c>
      <c r="J59" s="19">
        <f t="shared" si="45"/>
        <v>50</v>
      </c>
      <c r="K59" s="19">
        <f t="shared" si="46"/>
        <v>100</v>
      </c>
      <c r="L59" s="557">
        <f t="shared" si="47"/>
        <v>100</v>
      </c>
      <c r="M59" s="18">
        <f t="shared" si="48"/>
        <v>100</v>
      </c>
      <c r="V59" s="55">
        <f t="shared" si="49"/>
        <v>435.64048879726516</v>
      </c>
    </row>
    <row r="60" spans="1:24" s="6" customFormat="1" ht="15" customHeight="1" x14ac:dyDescent="0.25">
      <c r="A60" s="9"/>
      <c r="B60" s="482" t="s">
        <v>218</v>
      </c>
      <c r="C60" s="17"/>
      <c r="D60" s="16">
        <f t="shared" si="39"/>
        <v>8.33</v>
      </c>
      <c r="E60" s="16">
        <f t="shared" si="40"/>
        <v>16.670000000000002</v>
      </c>
      <c r="F60" s="16">
        <f t="shared" si="41"/>
        <v>25</v>
      </c>
      <c r="G60" s="16">
        <f t="shared" si="42"/>
        <v>25</v>
      </c>
      <c r="H60" s="16">
        <f t="shared" si="43"/>
        <v>25</v>
      </c>
      <c r="I60" s="16">
        <f t="shared" si="44"/>
        <v>50</v>
      </c>
      <c r="J60" s="16">
        <f t="shared" si="45"/>
        <v>50</v>
      </c>
      <c r="K60" s="16">
        <f t="shared" si="46"/>
        <v>100</v>
      </c>
      <c r="L60" s="558">
        <f t="shared" si="47"/>
        <v>100</v>
      </c>
      <c r="M60" s="15">
        <f t="shared" si="48"/>
        <v>100</v>
      </c>
      <c r="V60" s="55">
        <f t="shared" si="49"/>
        <v>423.72974367170423</v>
      </c>
    </row>
    <row r="61" spans="1:24" s="174" customFormat="1" ht="17.399999999999999" customHeight="1" x14ac:dyDescent="0.25">
      <c r="A61" s="173"/>
      <c r="B61" s="463" t="s">
        <v>230</v>
      </c>
      <c r="C61" s="487"/>
      <c r="D61" s="488">
        <v>2.0833333333333299</v>
      </c>
      <c r="E61" s="488">
        <v>4.0625</v>
      </c>
      <c r="F61" s="488">
        <v>5.8333333333333339</v>
      </c>
      <c r="G61" s="488">
        <v>5.520833333333333</v>
      </c>
      <c r="H61" s="488">
        <v>5.2083333333333339</v>
      </c>
      <c r="I61" s="488">
        <v>9.4791666666666679</v>
      </c>
      <c r="J61" s="488">
        <v>8.2291666666666679</v>
      </c>
      <c r="K61" s="488">
        <v>12.70833333333333</v>
      </c>
      <c r="L61" s="488">
        <v>7.7083333333333321</v>
      </c>
      <c r="M61" s="488">
        <v>2.7083333333333321</v>
      </c>
      <c r="N61" s="489"/>
      <c r="O61" s="489"/>
      <c r="P61" s="489"/>
      <c r="Q61" s="489"/>
      <c r="R61" s="489"/>
      <c r="S61" s="489"/>
      <c r="T61" s="489"/>
      <c r="U61" s="489"/>
      <c r="V61" s="522">
        <f>SUMPRODUCT(D61:M61,D25:M25)</f>
        <v>57.581593743522689</v>
      </c>
    </row>
    <row r="62" spans="1:24" s="6" customFormat="1" ht="17.399999999999999" customHeight="1" x14ac:dyDescent="0.25">
      <c r="A62" s="1"/>
      <c r="B62" s="463" t="s">
        <v>231</v>
      </c>
      <c r="C62" s="63"/>
      <c r="D62" s="65">
        <f>IF(D54&gt;0, D$61, 0)</f>
        <v>2.0833333333333299</v>
      </c>
      <c r="E62" s="65">
        <f t="shared" ref="E62:M63" si="50">IF(E54&gt;0, E$61, 0)</f>
        <v>4.0625</v>
      </c>
      <c r="F62" s="65">
        <f t="shared" si="50"/>
        <v>5.8333333333333339</v>
      </c>
      <c r="G62" s="65">
        <f t="shared" si="50"/>
        <v>5.520833333333333</v>
      </c>
      <c r="H62" s="65">
        <f t="shared" si="50"/>
        <v>5.2083333333333339</v>
      </c>
      <c r="I62" s="65">
        <f t="shared" si="50"/>
        <v>9.4791666666666679</v>
      </c>
      <c r="J62" s="65">
        <f t="shared" si="50"/>
        <v>8.2291666666666679</v>
      </c>
      <c r="K62" s="65">
        <f t="shared" si="50"/>
        <v>12.70833333333333</v>
      </c>
      <c r="L62" s="65">
        <f t="shared" si="50"/>
        <v>7.7083333333333321</v>
      </c>
      <c r="M62" s="65">
        <f t="shared" si="50"/>
        <v>2.7083333333333321</v>
      </c>
      <c r="N62" s="13"/>
      <c r="O62" s="13"/>
      <c r="V62" s="55">
        <f>SUMPRODUCT(D62:M62,D25:M25)</f>
        <v>57.581593743522689</v>
      </c>
      <c r="X62" s="56"/>
    </row>
    <row r="63" spans="1:24" s="6" customFormat="1" ht="15" customHeight="1" x14ac:dyDescent="0.25">
      <c r="A63" s="605"/>
      <c r="B63" s="480" t="s">
        <v>232</v>
      </c>
      <c r="C63" s="8"/>
      <c r="D63" s="66">
        <f>IF(D55&gt;0, D$61, 0)</f>
        <v>2.0833333333333299</v>
      </c>
      <c r="E63" s="66">
        <f t="shared" si="50"/>
        <v>4.0625</v>
      </c>
      <c r="F63" s="66">
        <f t="shared" si="50"/>
        <v>5.8333333333333339</v>
      </c>
      <c r="G63" s="66">
        <f t="shared" si="50"/>
        <v>5.520833333333333</v>
      </c>
      <c r="H63" s="66">
        <f t="shared" si="50"/>
        <v>5.2083333333333339</v>
      </c>
      <c r="I63" s="66">
        <f t="shared" si="50"/>
        <v>9.4791666666666679</v>
      </c>
      <c r="J63" s="66">
        <f t="shared" si="50"/>
        <v>8.2291666666666679</v>
      </c>
      <c r="K63" s="66">
        <f t="shared" si="50"/>
        <v>12.70833333333333</v>
      </c>
      <c r="L63" s="66">
        <f t="shared" si="50"/>
        <v>7.7083333333333321</v>
      </c>
      <c r="M63" s="67">
        <f t="shared" si="50"/>
        <v>2.7083333333333321</v>
      </c>
      <c r="N63" s="605"/>
      <c r="V63" s="55">
        <f>SUMPRODUCT(D63:M63,D26:M26)</f>
        <v>55.328382948997636</v>
      </c>
    </row>
    <row r="64" spans="1:24" s="6" customFormat="1" ht="15" customHeight="1" x14ac:dyDescent="0.25">
      <c r="A64" s="605"/>
      <c r="B64" s="480" t="s">
        <v>233</v>
      </c>
      <c r="C64" s="8"/>
      <c r="D64" s="66">
        <f t="shared" ref="D64:M68" si="51">IF(D56&gt;0, D$61, 0)</f>
        <v>2.0833333333333299</v>
      </c>
      <c r="E64" s="66">
        <f t="shared" si="51"/>
        <v>4.0625</v>
      </c>
      <c r="F64" s="66">
        <f t="shared" si="51"/>
        <v>5.8333333333333339</v>
      </c>
      <c r="G64" s="66">
        <f t="shared" si="51"/>
        <v>5.520833333333333</v>
      </c>
      <c r="H64" s="66">
        <f t="shared" si="51"/>
        <v>5.2083333333333339</v>
      </c>
      <c r="I64" s="66">
        <f t="shared" si="51"/>
        <v>9.4791666666666679</v>
      </c>
      <c r="J64" s="66">
        <f t="shared" si="51"/>
        <v>8.2291666666666679</v>
      </c>
      <c r="K64" s="66">
        <f t="shared" si="51"/>
        <v>12.70833333333333</v>
      </c>
      <c r="L64" s="66">
        <f t="shared" si="51"/>
        <v>7.7083333333333321</v>
      </c>
      <c r="M64" s="67">
        <f t="shared" si="51"/>
        <v>0</v>
      </c>
      <c r="N64" s="605"/>
      <c r="V64" s="55">
        <f>SUMPRODUCT(D64:M64,D27:M27)</f>
        <v>57.658152258631667</v>
      </c>
    </row>
    <row r="65" spans="1:24" s="6" customFormat="1" ht="14.7" customHeight="1" x14ac:dyDescent="0.25">
      <c r="A65" s="605"/>
      <c r="B65" s="465" t="s">
        <v>234</v>
      </c>
      <c r="C65" s="8"/>
      <c r="D65" s="66">
        <f t="shared" si="51"/>
        <v>2.0833333333333299</v>
      </c>
      <c r="E65" s="66">
        <f t="shared" si="51"/>
        <v>4.0625</v>
      </c>
      <c r="F65" s="66">
        <f t="shared" si="51"/>
        <v>5.8333333333333339</v>
      </c>
      <c r="G65" s="66">
        <f t="shared" si="51"/>
        <v>5.520833333333333</v>
      </c>
      <c r="H65" s="66">
        <f t="shared" si="51"/>
        <v>5.2083333333333339</v>
      </c>
      <c r="I65" s="66">
        <f t="shared" si="51"/>
        <v>9.4791666666666679</v>
      </c>
      <c r="J65" s="66">
        <f t="shared" si="51"/>
        <v>8.2291666666666679</v>
      </c>
      <c r="K65" s="66">
        <f t="shared" si="51"/>
        <v>12.70833333333333</v>
      </c>
      <c r="L65" s="66">
        <f t="shared" si="51"/>
        <v>7.7083333333333321</v>
      </c>
      <c r="M65" s="67">
        <f t="shared" si="51"/>
        <v>2.7083333333333321</v>
      </c>
      <c r="N65" s="605"/>
      <c r="V65" s="55">
        <f t="shared" ref="V65:V68" si="52">SUMPRODUCT(D65:M65,D28:M28)</f>
        <v>55.79187207720878</v>
      </c>
    </row>
    <row r="66" spans="1:24" s="6" customFormat="1" ht="14.7" customHeight="1" x14ac:dyDescent="0.25">
      <c r="A66" s="605"/>
      <c r="B66" s="465" t="s">
        <v>235</v>
      </c>
      <c r="C66" s="8"/>
      <c r="D66" s="66">
        <f t="shared" si="51"/>
        <v>2.0833333333333299</v>
      </c>
      <c r="E66" s="66">
        <f t="shared" si="51"/>
        <v>0</v>
      </c>
      <c r="F66" s="66">
        <f t="shared" si="51"/>
        <v>0</v>
      </c>
      <c r="G66" s="66">
        <f t="shared" si="51"/>
        <v>0</v>
      </c>
      <c r="H66" s="66">
        <f t="shared" si="51"/>
        <v>0</v>
      </c>
      <c r="I66" s="66">
        <f t="shared" si="51"/>
        <v>0</v>
      </c>
      <c r="J66" s="66">
        <f t="shared" si="51"/>
        <v>0</v>
      </c>
      <c r="K66" s="66">
        <f t="shared" si="51"/>
        <v>0</v>
      </c>
      <c r="L66" s="66">
        <f t="shared" si="51"/>
        <v>0</v>
      </c>
      <c r="M66" s="67">
        <f t="shared" si="51"/>
        <v>0</v>
      </c>
      <c r="N66" s="605"/>
      <c r="V66" s="55">
        <f t="shared" si="52"/>
        <v>2.0846368659706616</v>
      </c>
    </row>
    <row r="67" spans="1:24" s="6" customFormat="1" ht="14.7" customHeight="1" x14ac:dyDescent="0.25">
      <c r="A67" s="605"/>
      <c r="B67" s="481" t="s">
        <v>236</v>
      </c>
      <c r="C67" s="8"/>
      <c r="D67" s="66">
        <f t="shared" si="51"/>
        <v>2.0833333333333299</v>
      </c>
      <c r="E67" s="66">
        <f t="shared" si="51"/>
        <v>4.0625</v>
      </c>
      <c r="F67" s="66">
        <f t="shared" si="51"/>
        <v>5.8333333333333339</v>
      </c>
      <c r="G67" s="66">
        <f t="shared" si="51"/>
        <v>5.520833333333333</v>
      </c>
      <c r="H67" s="66">
        <f t="shared" si="51"/>
        <v>5.2083333333333339</v>
      </c>
      <c r="I67" s="66">
        <f t="shared" si="51"/>
        <v>9.4791666666666679</v>
      </c>
      <c r="J67" s="66">
        <f t="shared" si="51"/>
        <v>8.2291666666666679</v>
      </c>
      <c r="K67" s="66">
        <f t="shared" si="51"/>
        <v>12.70833333333333</v>
      </c>
      <c r="L67" s="66">
        <f t="shared" si="51"/>
        <v>7.7083333333333321</v>
      </c>
      <c r="M67" s="67">
        <f t="shared" si="51"/>
        <v>2.7083333333333321</v>
      </c>
      <c r="N67" s="605"/>
      <c r="V67" s="55">
        <f t="shared" si="52"/>
        <v>58.222051365060764</v>
      </c>
    </row>
    <row r="68" spans="1:24" s="6" customFormat="1" ht="14.7" customHeight="1" x14ac:dyDescent="0.25">
      <c r="A68" s="605"/>
      <c r="B68" s="482" t="s">
        <v>237</v>
      </c>
      <c r="C68" s="7"/>
      <c r="D68" s="68">
        <f t="shared" si="51"/>
        <v>2.0833333333333299</v>
      </c>
      <c r="E68" s="68">
        <f t="shared" si="51"/>
        <v>4.0625</v>
      </c>
      <c r="F68" s="68">
        <f t="shared" si="51"/>
        <v>5.8333333333333339</v>
      </c>
      <c r="G68" s="68">
        <f t="shared" si="51"/>
        <v>5.520833333333333</v>
      </c>
      <c r="H68" s="68">
        <f t="shared" si="51"/>
        <v>5.2083333333333339</v>
      </c>
      <c r="I68" s="68">
        <f t="shared" si="51"/>
        <v>9.4791666666666679</v>
      </c>
      <c r="J68" s="68">
        <f t="shared" si="51"/>
        <v>8.2291666666666679</v>
      </c>
      <c r="K68" s="68">
        <f t="shared" si="51"/>
        <v>12.70833333333333</v>
      </c>
      <c r="L68" s="68">
        <f t="shared" si="51"/>
        <v>7.7083333333333321</v>
      </c>
      <c r="M68" s="69">
        <f t="shared" si="51"/>
        <v>2.7083333333333321</v>
      </c>
      <c r="N68" s="605"/>
      <c r="V68" s="55">
        <f t="shared" si="52"/>
        <v>56.500493549035397</v>
      </c>
    </row>
    <row r="69" spans="1:24" s="174" customFormat="1" ht="17.399999999999999" customHeight="1" x14ac:dyDescent="0.25">
      <c r="A69" s="173"/>
      <c r="B69" s="463" t="s">
        <v>230</v>
      </c>
      <c r="C69" s="487"/>
      <c r="D69" s="488">
        <f t="shared" ref="D69:M69" si="53">D61</f>
        <v>2.0833333333333299</v>
      </c>
      <c r="E69" s="488">
        <f t="shared" si="53"/>
        <v>4.0625</v>
      </c>
      <c r="F69" s="488">
        <f t="shared" si="53"/>
        <v>5.8333333333333339</v>
      </c>
      <c r="G69" s="488">
        <f t="shared" si="53"/>
        <v>5.520833333333333</v>
      </c>
      <c r="H69" s="488">
        <f t="shared" si="53"/>
        <v>5.2083333333333339</v>
      </c>
      <c r="I69" s="488">
        <f t="shared" si="53"/>
        <v>9.4791666666666679</v>
      </c>
      <c r="J69" s="488">
        <f t="shared" si="53"/>
        <v>8.2291666666666679</v>
      </c>
      <c r="K69" s="488">
        <f t="shared" si="53"/>
        <v>12.70833333333333</v>
      </c>
      <c r="L69" s="488">
        <f t="shared" si="53"/>
        <v>7.7083333333333321</v>
      </c>
      <c r="M69" s="488">
        <f t="shared" si="53"/>
        <v>2.7083333333333321</v>
      </c>
      <c r="N69" s="489"/>
      <c r="O69" s="489"/>
      <c r="P69" s="489"/>
      <c r="Q69" s="489"/>
      <c r="R69" s="489"/>
      <c r="S69" s="489"/>
      <c r="T69" s="489"/>
      <c r="U69" s="489"/>
      <c r="V69" s="522">
        <f>SUMPRODUCT(D69:M69,D25:M25)</f>
        <v>57.581593743522689</v>
      </c>
    </row>
    <row r="70" spans="1:24" s="6" customFormat="1" ht="17.399999999999999" customHeight="1" x14ac:dyDescent="0.25">
      <c r="A70" s="1"/>
      <c r="B70" s="463" t="s">
        <v>231</v>
      </c>
      <c r="C70" s="63"/>
      <c r="D70" s="65">
        <f t="shared" ref="D70:M70" si="54">IF(D62&gt;0, D$61, 0)</f>
        <v>2.0833333333333299</v>
      </c>
      <c r="E70" s="65">
        <f t="shared" si="54"/>
        <v>4.0625</v>
      </c>
      <c r="F70" s="65">
        <f t="shared" si="54"/>
        <v>5.8333333333333339</v>
      </c>
      <c r="G70" s="65">
        <f t="shared" si="54"/>
        <v>5.520833333333333</v>
      </c>
      <c r="H70" s="65">
        <f t="shared" si="54"/>
        <v>5.2083333333333339</v>
      </c>
      <c r="I70" s="65">
        <f t="shared" si="54"/>
        <v>9.4791666666666679</v>
      </c>
      <c r="J70" s="65">
        <f t="shared" si="54"/>
        <v>8.2291666666666679</v>
      </c>
      <c r="K70" s="65">
        <f t="shared" si="54"/>
        <v>12.70833333333333</v>
      </c>
      <c r="L70" s="65">
        <f t="shared" si="54"/>
        <v>7.7083333333333321</v>
      </c>
      <c r="M70" s="65">
        <f t="shared" si="54"/>
        <v>2.7083333333333321</v>
      </c>
      <c r="N70" s="13"/>
      <c r="O70" s="13"/>
      <c r="V70" s="55">
        <f>SUMPRODUCT(D70:M70,D25:M25)</f>
        <v>57.581593743522689</v>
      </c>
      <c r="X70" s="56"/>
    </row>
    <row r="71" spans="1:24" s="6" customFormat="1" ht="15" customHeight="1" x14ac:dyDescent="0.25">
      <c r="A71" s="605"/>
      <c r="B71" s="480" t="s">
        <v>232</v>
      </c>
      <c r="C71" s="8"/>
      <c r="D71" s="11">
        <f>D70</f>
        <v>2.0833333333333299</v>
      </c>
      <c r="E71" s="11">
        <f t="shared" ref="E71:M76" si="55">E70</f>
        <v>4.0625</v>
      </c>
      <c r="F71" s="11">
        <f t="shared" si="55"/>
        <v>5.8333333333333339</v>
      </c>
      <c r="G71" s="11">
        <f t="shared" si="55"/>
        <v>5.520833333333333</v>
      </c>
      <c r="H71" s="11">
        <f t="shared" si="55"/>
        <v>5.2083333333333339</v>
      </c>
      <c r="I71" s="11">
        <f t="shared" si="55"/>
        <v>9.4791666666666679</v>
      </c>
      <c r="J71" s="11">
        <f t="shared" si="55"/>
        <v>8.2291666666666679</v>
      </c>
      <c r="K71" s="11">
        <f t="shared" si="55"/>
        <v>12.70833333333333</v>
      </c>
      <c r="L71" s="11">
        <f t="shared" si="55"/>
        <v>7.7083333333333321</v>
      </c>
      <c r="M71" s="10">
        <f t="shared" si="55"/>
        <v>2.7083333333333321</v>
      </c>
      <c r="N71" s="606"/>
      <c r="U71" s="60"/>
      <c r="V71" s="55">
        <f>SUMPRODUCT(D71:M71,D26:M26)</f>
        <v>55.328382948997636</v>
      </c>
    </row>
    <row r="72" spans="1:24" s="6" customFormat="1" ht="15" customHeight="1" x14ac:dyDescent="0.25">
      <c r="A72" s="605"/>
      <c r="B72" s="480" t="s">
        <v>233</v>
      </c>
      <c r="C72" s="8"/>
      <c r="D72" s="11">
        <f t="shared" ref="D72:D76" si="56">D71</f>
        <v>2.0833333333333299</v>
      </c>
      <c r="E72" s="11">
        <f t="shared" si="55"/>
        <v>4.0625</v>
      </c>
      <c r="F72" s="11">
        <f t="shared" si="55"/>
        <v>5.8333333333333339</v>
      </c>
      <c r="G72" s="11">
        <f t="shared" si="55"/>
        <v>5.520833333333333</v>
      </c>
      <c r="H72" s="11">
        <f t="shared" si="55"/>
        <v>5.2083333333333339</v>
      </c>
      <c r="I72" s="11">
        <f t="shared" si="55"/>
        <v>9.4791666666666679</v>
      </c>
      <c r="J72" s="11">
        <f t="shared" si="55"/>
        <v>8.2291666666666679</v>
      </c>
      <c r="K72" s="11">
        <f t="shared" si="55"/>
        <v>12.70833333333333</v>
      </c>
      <c r="L72" s="11">
        <f t="shared" si="55"/>
        <v>7.7083333333333321</v>
      </c>
      <c r="M72" s="10">
        <f t="shared" si="55"/>
        <v>2.7083333333333321</v>
      </c>
      <c r="N72" s="606"/>
      <c r="U72" s="60"/>
      <c r="V72" s="55">
        <f t="shared" ref="V72:V76" si="57">SUMPRODUCT(D72:M72,D27:M27)</f>
        <v>59.978423601495251</v>
      </c>
    </row>
    <row r="73" spans="1:24" s="6" customFormat="1" ht="15" customHeight="1" x14ac:dyDescent="0.25">
      <c r="A73" s="605"/>
      <c r="B73" s="465" t="s">
        <v>234</v>
      </c>
      <c r="C73" s="8"/>
      <c r="D73" s="11">
        <f t="shared" si="56"/>
        <v>2.0833333333333299</v>
      </c>
      <c r="E73" s="11">
        <f t="shared" si="55"/>
        <v>4.0625</v>
      </c>
      <c r="F73" s="11">
        <f t="shared" si="55"/>
        <v>5.8333333333333339</v>
      </c>
      <c r="G73" s="11">
        <f t="shared" si="55"/>
        <v>5.520833333333333</v>
      </c>
      <c r="H73" s="11">
        <f t="shared" si="55"/>
        <v>5.2083333333333339</v>
      </c>
      <c r="I73" s="11">
        <f t="shared" si="55"/>
        <v>9.4791666666666679</v>
      </c>
      <c r="J73" s="11">
        <f>J72</f>
        <v>8.2291666666666679</v>
      </c>
      <c r="K73" s="11">
        <f t="shared" si="55"/>
        <v>12.70833333333333</v>
      </c>
      <c r="L73" s="11">
        <f t="shared" si="55"/>
        <v>7.7083333333333321</v>
      </c>
      <c r="M73" s="10">
        <f t="shared" si="55"/>
        <v>2.7083333333333321</v>
      </c>
      <c r="N73" s="606"/>
      <c r="U73" s="60"/>
      <c r="V73" s="55">
        <f t="shared" si="57"/>
        <v>55.79187207720878</v>
      </c>
    </row>
    <row r="74" spans="1:24" s="6" customFormat="1" ht="15" customHeight="1" x14ac:dyDescent="0.25">
      <c r="A74" s="605"/>
      <c r="B74" s="465" t="s">
        <v>235</v>
      </c>
      <c r="C74" s="8"/>
      <c r="D74" s="11">
        <f t="shared" si="56"/>
        <v>2.0833333333333299</v>
      </c>
      <c r="E74" s="11">
        <f t="shared" si="55"/>
        <v>4.0625</v>
      </c>
      <c r="F74" s="11">
        <f t="shared" si="55"/>
        <v>5.8333333333333339</v>
      </c>
      <c r="G74" s="11">
        <f t="shared" si="55"/>
        <v>5.520833333333333</v>
      </c>
      <c r="H74" s="11">
        <f t="shared" si="55"/>
        <v>5.2083333333333339</v>
      </c>
      <c r="I74" s="11">
        <f t="shared" si="55"/>
        <v>9.4791666666666679</v>
      </c>
      <c r="J74" s="11">
        <f t="shared" si="55"/>
        <v>8.2291666666666679</v>
      </c>
      <c r="K74" s="11">
        <f t="shared" si="55"/>
        <v>12.70833333333333</v>
      </c>
      <c r="L74" s="11">
        <f t="shared" si="55"/>
        <v>7.7083333333333321</v>
      </c>
      <c r="M74" s="10">
        <f t="shared" si="55"/>
        <v>2.7083333333333321</v>
      </c>
      <c r="N74" s="606"/>
      <c r="U74" s="60"/>
      <c r="V74" s="55">
        <f t="shared" si="57"/>
        <v>59.443249708515587</v>
      </c>
    </row>
    <row r="75" spans="1:24" s="6" customFormat="1" ht="15" customHeight="1" x14ac:dyDescent="0.25">
      <c r="A75" s="605"/>
      <c r="B75" s="481" t="s">
        <v>236</v>
      </c>
      <c r="C75" s="8"/>
      <c r="D75" s="11">
        <f t="shared" si="56"/>
        <v>2.0833333333333299</v>
      </c>
      <c r="E75" s="11">
        <f t="shared" si="55"/>
        <v>4.0625</v>
      </c>
      <c r="F75" s="11">
        <f t="shared" si="55"/>
        <v>5.8333333333333339</v>
      </c>
      <c r="G75" s="11">
        <f t="shared" si="55"/>
        <v>5.520833333333333</v>
      </c>
      <c r="H75" s="11">
        <f t="shared" si="55"/>
        <v>5.2083333333333339</v>
      </c>
      <c r="I75" s="11">
        <f t="shared" si="55"/>
        <v>9.4791666666666679</v>
      </c>
      <c r="J75" s="11">
        <f t="shared" si="55"/>
        <v>8.2291666666666679</v>
      </c>
      <c r="K75" s="11">
        <f t="shared" si="55"/>
        <v>12.70833333333333</v>
      </c>
      <c r="L75" s="11">
        <f t="shared" si="55"/>
        <v>7.7083333333333321</v>
      </c>
      <c r="M75" s="10">
        <f t="shared" si="55"/>
        <v>2.7083333333333321</v>
      </c>
      <c r="N75" s="606"/>
      <c r="U75" s="60"/>
      <c r="V75" s="55">
        <f t="shared" si="57"/>
        <v>58.222051365060764</v>
      </c>
    </row>
    <row r="76" spans="1:24" s="6" customFormat="1" ht="15" customHeight="1" x14ac:dyDescent="0.25">
      <c r="A76" s="605"/>
      <c r="B76" s="482" t="s">
        <v>237</v>
      </c>
      <c r="C76" s="7"/>
      <c r="D76" s="12">
        <f t="shared" si="56"/>
        <v>2.0833333333333299</v>
      </c>
      <c r="E76" s="12">
        <f t="shared" si="55"/>
        <v>4.0625</v>
      </c>
      <c r="F76" s="12">
        <f t="shared" si="55"/>
        <v>5.8333333333333339</v>
      </c>
      <c r="G76" s="12">
        <f t="shared" si="55"/>
        <v>5.520833333333333</v>
      </c>
      <c r="H76" s="12">
        <f t="shared" si="55"/>
        <v>5.2083333333333339</v>
      </c>
      <c r="I76" s="12">
        <f t="shared" si="55"/>
        <v>9.4791666666666679</v>
      </c>
      <c r="J76" s="12">
        <f t="shared" si="55"/>
        <v>8.2291666666666679</v>
      </c>
      <c r="K76" s="12">
        <f t="shared" si="55"/>
        <v>12.70833333333333</v>
      </c>
      <c r="L76" s="12">
        <f t="shared" si="55"/>
        <v>7.7083333333333321</v>
      </c>
      <c r="M76" s="59">
        <f t="shared" si="55"/>
        <v>2.7083333333333321</v>
      </c>
      <c r="N76" s="607"/>
      <c r="O76" s="61"/>
      <c r="P76" s="61"/>
      <c r="Q76" s="61"/>
      <c r="R76" s="61"/>
      <c r="S76" s="61"/>
      <c r="T76" s="61"/>
      <c r="U76" s="62"/>
      <c r="V76" s="55">
        <f t="shared" si="57"/>
        <v>56.500493549035397</v>
      </c>
    </row>
    <row r="77" spans="1:24" s="1" customFormat="1" ht="10.8" x14ac:dyDescent="0.3">
      <c r="B77" s="507"/>
      <c r="C77" s="57"/>
      <c r="D77" s="58"/>
      <c r="E77" s="58"/>
      <c r="F77" s="58"/>
      <c r="G77" s="58"/>
      <c r="H77" s="58"/>
      <c r="I77" s="58"/>
      <c r="J77" s="58"/>
      <c r="K77" s="58"/>
      <c r="L77" s="58"/>
      <c r="M77" s="58"/>
      <c r="N77" s="53"/>
      <c r="O77" s="53"/>
      <c r="P77" s="53"/>
      <c r="Q77" s="53"/>
      <c r="R77" s="53"/>
      <c r="S77" s="53"/>
      <c r="T77" s="53"/>
      <c r="U77" s="53"/>
      <c r="V77" s="53"/>
    </row>
    <row r="78" spans="1:24" s="1" customFormat="1" ht="14.7" customHeight="1" x14ac:dyDescent="0.25">
      <c r="B78" s="508" t="s">
        <v>43</v>
      </c>
      <c r="C78" s="509">
        <v>1.1000000000000001</v>
      </c>
      <c r="D78" s="13"/>
      <c r="E78" s="13"/>
      <c r="F78" s="13"/>
      <c r="G78" s="13"/>
      <c r="H78" s="13"/>
      <c r="I78" s="13"/>
      <c r="J78" s="13"/>
      <c r="K78" s="13"/>
      <c r="L78" s="13"/>
      <c r="M78" s="13"/>
      <c r="N78" s="6"/>
    </row>
    <row r="79" spans="1:24" s="1" customFormat="1" x14ac:dyDescent="0.3">
      <c r="C79" s="6"/>
      <c r="D79" s="6"/>
      <c r="E79" s="6"/>
      <c r="F79"/>
      <c r="G79"/>
      <c r="H79"/>
      <c r="I79"/>
      <c r="L79" s="6"/>
      <c r="M79" s="6"/>
      <c r="N79" s="6"/>
    </row>
    <row r="80" spans="1:24" s="1" customFormat="1" x14ac:dyDescent="0.3">
      <c r="B80" s="602" t="s">
        <v>204</v>
      </c>
      <c r="C80" s="6"/>
      <c r="D80" s="6"/>
      <c r="E80" s="6"/>
      <c r="F80"/>
      <c r="G80"/>
      <c r="H80"/>
      <c r="I80"/>
      <c r="L80" s="6"/>
      <c r="M80" s="6"/>
      <c r="N80" s="6"/>
    </row>
    <row r="81" spans="2:14" s="1" customFormat="1" ht="15" customHeight="1" x14ac:dyDescent="0.25">
      <c r="B81" s="603"/>
      <c r="C81" s="491" t="s">
        <v>224</v>
      </c>
      <c r="D81" s="495" t="s">
        <v>225</v>
      </c>
      <c r="E81" s="499" t="s">
        <v>226</v>
      </c>
      <c r="F81" s="495" t="s">
        <v>7</v>
      </c>
      <c r="G81" s="503" t="s">
        <v>227</v>
      </c>
      <c r="H81" s="160"/>
      <c r="I81" s="160"/>
      <c r="L81" s="6"/>
      <c r="M81" s="6"/>
      <c r="N81" s="6"/>
    </row>
    <row r="82" spans="2:14" s="1" customFormat="1" ht="15" customHeight="1" x14ac:dyDescent="0.25">
      <c r="B82" s="463" t="s">
        <v>18</v>
      </c>
      <c r="C82" s="492">
        <f>V54+V62</f>
        <v>489.69536925273474</v>
      </c>
      <c r="D82" s="496">
        <f>C82-C82</f>
        <v>0</v>
      </c>
      <c r="E82" s="500">
        <f>V54-V54+(V70-V70)</f>
        <v>0</v>
      </c>
      <c r="F82" s="496">
        <f>(V62-V70)*C78</f>
        <v>0</v>
      </c>
      <c r="G82" s="504">
        <f>E82+F82</f>
        <v>0</v>
      </c>
      <c r="H82" s="56"/>
      <c r="I82" s="56"/>
      <c r="J82" s="58"/>
      <c r="L82" s="6"/>
      <c r="M82" s="6"/>
      <c r="N82" s="6"/>
    </row>
    <row r="83" spans="2:14" s="1" customFormat="1" ht="15" customHeight="1" x14ac:dyDescent="0.25">
      <c r="B83" s="480" t="s">
        <v>40</v>
      </c>
      <c r="C83" s="493">
        <f>V55+V63</f>
        <v>462.77488830355765</v>
      </c>
      <c r="D83" s="497">
        <f>C83-$C$82</f>
        <v>-26.92048094917709</v>
      </c>
      <c r="E83" s="501">
        <f>V55-V54+(V71-V70)</f>
        <v>-26.92048094917704</v>
      </c>
      <c r="F83" s="497">
        <f>(V63-V71)*C78</f>
        <v>0</v>
      </c>
      <c r="G83" s="505">
        <f t="shared" ref="G83:G88" si="58">E83+F83</f>
        <v>-26.92048094917704</v>
      </c>
      <c r="H83" s="56"/>
      <c r="I83" s="56"/>
      <c r="J83" s="58"/>
      <c r="L83" s="6"/>
      <c r="M83" s="6"/>
      <c r="N83" s="6"/>
    </row>
    <row r="84" spans="2:14" s="1" customFormat="1" ht="15" customHeight="1" x14ac:dyDescent="0.25">
      <c r="B84" s="480" t="s">
        <v>41</v>
      </c>
      <c r="C84" s="493">
        <f t="shared" ref="C84:C88" si="59">V56+V64</f>
        <v>519.16710678177549</v>
      </c>
      <c r="D84" s="497">
        <f>C84-$C$82</f>
        <v>29.471737529040752</v>
      </c>
      <c r="E84" s="501">
        <f>V56-V54+(V72-V70)</f>
        <v>31.792008871904358</v>
      </c>
      <c r="F84" s="497">
        <f>(V64-V72)*C78</f>
        <v>-2.5522984771499431</v>
      </c>
      <c r="G84" s="505">
        <f>E84+F84</f>
        <v>29.239710394754415</v>
      </c>
      <c r="H84" s="56"/>
      <c r="I84" s="56"/>
      <c r="J84" s="58"/>
      <c r="L84" s="6"/>
      <c r="M84" s="6"/>
      <c r="N84" s="6"/>
    </row>
    <row r="85" spans="2:14" s="1" customFormat="1" ht="15" customHeight="1" x14ac:dyDescent="0.3">
      <c r="B85" s="465" t="s">
        <v>38</v>
      </c>
      <c r="C85" s="493">
        <f>V57+V65</f>
        <v>471.5104919583402</v>
      </c>
      <c r="D85" s="497">
        <f t="shared" ref="D85:D88" si="60">C85-$C$82</f>
        <v>-18.184877294394539</v>
      </c>
      <c r="E85" s="501">
        <f>V57-V54+(V73-V70)</f>
        <v>-18.184877294394511</v>
      </c>
      <c r="F85" s="497">
        <f>(V65-V73)*C78</f>
        <v>0</v>
      </c>
      <c r="G85" s="505">
        <f t="shared" si="58"/>
        <v>-18.184877294394511</v>
      </c>
      <c r="H85" s="56"/>
      <c r="I85" s="56"/>
      <c r="J85" s="58"/>
      <c r="L85"/>
      <c r="M85" s="6"/>
      <c r="N85" s="6"/>
    </row>
    <row r="86" spans="2:14" s="1" customFormat="1" ht="15" customHeight="1" x14ac:dyDescent="0.25">
      <c r="B86" s="465" t="s">
        <v>39</v>
      </c>
      <c r="C86" s="493">
        <f t="shared" si="59"/>
        <v>502.39748469893027</v>
      </c>
      <c r="D86" s="497">
        <f t="shared" si="60"/>
        <v>12.702115446195535</v>
      </c>
      <c r="E86" s="501">
        <f>V58-V54+(V74-V70)</f>
        <v>70.060728288740506</v>
      </c>
      <c r="F86" s="497">
        <f>(V66-V74)*C78</f>
        <v>-63.094474126799426</v>
      </c>
      <c r="G86" s="505">
        <f t="shared" si="58"/>
        <v>6.9662541619410803</v>
      </c>
      <c r="H86" s="56"/>
      <c r="I86" s="56"/>
      <c r="J86" s="58"/>
      <c r="M86" s="6"/>
      <c r="N86" s="6"/>
    </row>
    <row r="87" spans="2:14" s="1" customFormat="1" ht="15" customHeight="1" x14ac:dyDescent="0.25">
      <c r="B87" s="481" t="s">
        <v>33</v>
      </c>
      <c r="C87" s="493">
        <f t="shared" si="59"/>
        <v>493.8625401623259</v>
      </c>
      <c r="D87" s="497">
        <f t="shared" si="60"/>
        <v>4.1671709095911638</v>
      </c>
      <c r="E87" s="501">
        <f>V59-V54+(V75-V70)</f>
        <v>4.1671709095912206</v>
      </c>
      <c r="F87" s="497">
        <f>(V67-V75)*C78</f>
        <v>0</v>
      </c>
      <c r="G87" s="505">
        <f t="shared" si="58"/>
        <v>4.1671709095912206</v>
      </c>
      <c r="H87" s="56"/>
      <c r="I87" s="56"/>
      <c r="J87" s="58"/>
      <c r="M87" s="6"/>
      <c r="N87" s="6"/>
    </row>
    <row r="88" spans="2:14" s="1" customFormat="1" ht="15" customHeight="1" x14ac:dyDescent="0.25">
      <c r="B88" s="482" t="s">
        <v>52</v>
      </c>
      <c r="C88" s="494">
        <f t="shared" si="59"/>
        <v>480.23023722073964</v>
      </c>
      <c r="D88" s="498">
        <f t="shared" si="60"/>
        <v>-9.4651320319950969</v>
      </c>
      <c r="E88" s="502">
        <f>V60-V54+(V76-V70)</f>
        <v>-9.4651320319950827</v>
      </c>
      <c r="F88" s="498">
        <f>(V68-V76)*C78</f>
        <v>0</v>
      </c>
      <c r="G88" s="506">
        <f t="shared" si="58"/>
        <v>-9.4651320319950827</v>
      </c>
      <c r="H88" s="56"/>
      <c r="I88" s="56"/>
      <c r="J88" s="58"/>
      <c r="M88" s="6"/>
      <c r="N88" s="6"/>
    </row>
    <row r="89" spans="2:14" x14ac:dyDescent="0.3">
      <c r="C89" s="53" t="s">
        <v>228</v>
      </c>
      <c r="L89" s="1"/>
    </row>
  </sheetData>
  <sheetProtection algorithmName="SHA-512" hashValue="/uUQ5H9Mek1433LAxDhjUHU9PJy9D4l8ETqY7nj9hvbSlA3WVz67jt5RwaRJbIUHo/Q3WxDl3csa2c4Jm0rEhw==" saltValue="gNYV3RNs+gU5ZQBXB3bCtw==" spinCount="100000" sheet="1" objects="1" scenarios="1"/>
  <mergeCells count="15">
    <mergeCell ref="B1:Q1"/>
    <mergeCell ref="C2:J2"/>
    <mergeCell ref="L2:P2"/>
    <mergeCell ref="L3:O3"/>
    <mergeCell ref="A18:A22"/>
    <mergeCell ref="A54:A59"/>
    <mergeCell ref="A63:A68"/>
    <mergeCell ref="N63:N68"/>
    <mergeCell ref="A71:A76"/>
    <mergeCell ref="N71:N76"/>
    <mergeCell ref="C51:D51"/>
    <mergeCell ref="E51:F51"/>
    <mergeCell ref="G51:J51"/>
    <mergeCell ref="B80:B81"/>
    <mergeCell ref="W52:W53"/>
  </mergeCells>
  <conditionalFormatting sqref="C43:U49">
    <cfRule type="cellIs" dxfId="1" priority="1" operator="lessThan">
      <formula>$E$51</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88E9-2148-4164-93AD-11D18FF3E1A9}">
  <sheetPr codeName="Sheet6">
    <tabColor theme="5" tint="0.59999389629810485"/>
    <outlinePr summaryBelow="0" summaryRight="0"/>
  </sheetPr>
  <dimension ref="A1:X90"/>
  <sheetViews>
    <sheetView showGridLines="0" zoomScale="90" zoomScaleNormal="90" workbookViewId="0">
      <selection activeCell="B1" sqref="B1:Q1"/>
    </sheetView>
  </sheetViews>
  <sheetFormatPr defaultColWidth="10.6640625" defaultRowHeight="14.4" outlineLevelRow="2" x14ac:dyDescent="0.3"/>
  <cols>
    <col min="1" max="1" width="3.44140625" style="1" customWidth="1"/>
    <col min="2" max="2" width="56.6640625" style="1" customWidth="1"/>
    <col min="3" max="11" width="10.6640625" style="1"/>
    <col min="12" max="14" width="10.6640625" style="6"/>
    <col min="15" max="15" width="9.88671875" customWidth="1"/>
  </cols>
  <sheetData>
    <row r="1" spans="1:23" ht="237.6" customHeight="1" x14ac:dyDescent="0.3">
      <c r="B1" s="618" t="s">
        <v>267</v>
      </c>
      <c r="C1" s="609"/>
      <c r="D1" s="609"/>
      <c r="E1" s="609"/>
      <c r="F1" s="609"/>
      <c r="G1" s="609"/>
      <c r="H1" s="609"/>
      <c r="I1" s="609"/>
      <c r="J1" s="609"/>
      <c r="K1" s="609"/>
      <c r="L1" s="609"/>
      <c r="M1" s="609"/>
      <c r="N1" s="609"/>
      <c r="O1" s="609"/>
      <c r="P1" s="609"/>
      <c r="Q1" s="610"/>
    </row>
    <row r="2" spans="1:23" ht="15" customHeight="1" x14ac:dyDescent="0.3">
      <c r="B2" s="510" t="s">
        <v>245</v>
      </c>
      <c r="C2" s="619" t="s">
        <v>240</v>
      </c>
      <c r="D2" s="620"/>
      <c r="E2" s="620"/>
      <c r="F2" s="620"/>
      <c r="G2" s="620"/>
      <c r="H2" s="620"/>
      <c r="I2" s="620"/>
      <c r="J2" s="621"/>
      <c r="L2" s="613"/>
      <c r="M2" s="613"/>
      <c r="N2" s="613"/>
      <c r="O2" s="613"/>
      <c r="P2" s="613"/>
    </row>
    <row r="3" spans="1:23" ht="15" customHeight="1" x14ac:dyDescent="0.3">
      <c r="B3" s="511" t="s">
        <v>199</v>
      </c>
      <c r="C3" s="54">
        <v>500</v>
      </c>
      <c r="D3" s="53" t="s">
        <v>241</v>
      </c>
      <c r="L3" s="614"/>
      <c r="M3" s="614"/>
      <c r="N3" s="614"/>
      <c r="O3" s="614"/>
    </row>
    <row r="4" spans="1:23" ht="15" customHeight="1" x14ac:dyDescent="0.3">
      <c r="B4" s="511" t="s">
        <v>201</v>
      </c>
      <c r="C4" s="54">
        <v>300</v>
      </c>
      <c r="D4" s="53" t="s">
        <v>241</v>
      </c>
    </row>
    <row r="5" spans="1:23" ht="15" customHeight="1" x14ac:dyDescent="0.3">
      <c r="B5" s="511" t="s">
        <v>246</v>
      </c>
      <c r="C5" s="54">
        <v>200</v>
      </c>
      <c r="D5" s="53" t="s">
        <v>241</v>
      </c>
    </row>
    <row r="6" spans="1:23" ht="15" customHeight="1" x14ac:dyDescent="0.3">
      <c r="B6" s="518" t="s">
        <v>9</v>
      </c>
      <c r="C6" s="54">
        <v>300</v>
      </c>
      <c r="D6" s="53" t="s">
        <v>241</v>
      </c>
    </row>
    <row r="7" spans="1:23" ht="15" customHeight="1" x14ac:dyDescent="0.3">
      <c r="B7" s="511" t="s">
        <v>200</v>
      </c>
      <c r="C7" s="54">
        <v>500</v>
      </c>
      <c r="D7" s="53"/>
    </row>
    <row r="8" spans="1:23" ht="14.7" customHeight="1" x14ac:dyDescent="0.3">
      <c r="C8" s="54"/>
      <c r="D8" s="53"/>
    </row>
    <row r="9" spans="1:23" ht="14.7" customHeight="1" x14ac:dyDescent="0.3">
      <c r="B9" s="559"/>
    </row>
    <row r="10" spans="1:23" ht="44.4" customHeight="1" x14ac:dyDescent="0.3">
      <c r="B10" s="490" t="s">
        <v>189</v>
      </c>
      <c r="C10" s="247" t="s">
        <v>0</v>
      </c>
      <c r="D10" s="247" t="s">
        <v>51</v>
      </c>
      <c r="E10" s="248" t="s">
        <v>3</v>
      </c>
      <c r="F10" s="247" t="s">
        <v>4</v>
      </c>
      <c r="G10" s="248" t="s">
        <v>5</v>
      </c>
      <c r="H10" s="248" t="s">
        <v>6</v>
      </c>
      <c r="I10" s="247" t="s">
        <v>19</v>
      </c>
      <c r="J10" s="248" t="s">
        <v>20</v>
      </c>
      <c r="K10" s="247" t="s">
        <v>21</v>
      </c>
      <c r="L10" s="247" t="s">
        <v>22</v>
      </c>
      <c r="M10" s="247" t="s">
        <v>23</v>
      </c>
      <c r="N10" s="247" t="s">
        <v>24</v>
      </c>
      <c r="O10" s="247" t="s">
        <v>25</v>
      </c>
      <c r="P10" s="247" t="s">
        <v>26</v>
      </c>
      <c r="Q10" s="247" t="s">
        <v>27</v>
      </c>
      <c r="R10" s="248" t="s">
        <v>28</v>
      </c>
      <c r="S10" s="247" t="s">
        <v>29</v>
      </c>
      <c r="T10" s="247" t="s">
        <v>30</v>
      </c>
      <c r="U10" s="249" t="s">
        <v>31</v>
      </c>
    </row>
    <row r="11" spans="1:23" ht="21.75" customHeight="1" x14ac:dyDescent="0.3">
      <c r="B11" s="537" t="s">
        <v>202</v>
      </c>
      <c r="C11" s="538">
        <v>2.8E-3</v>
      </c>
      <c r="D11" s="538">
        <v>4.1700000000000001E-2</v>
      </c>
      <c r="E11" s="538">
        <v>0.16669999999999999</v>
      </c>
      <c r="F11" s="538">
        <v>0.375</v>
      </c>
      <c r="G11" s="538">
        <v>0.625</v>
      </c>
      <c r="H11" s="538">
        <v>0.875</v>
      </c>
      <c r="I11" s="539">
        <v>1.25</v>
      </c>
      <c r="J11" s="539">
        <v>1.75</v>
      </c>
      <c r="K11" s="539">
        <v>2.5</v>
      </c>
      <c r="L11" s="539">
        <v>3.5</v>
      </c>
      <c r="M11" s="539">
        <v>4.5</v>
      </c>
      <c r="N11" s="539">
        <v>5.5</v>
      </c>
      <c r="O11" s="539">
        <v>6.5</v>
      </c>
      <c r="P11" s="539">
        <v>7.5</v>
      </c>
      <c r="Q11" s="539">
        <v>8.5</v>
      </c>
      <c r="R11" s="539">
        <v>9.5</v>
      </c>
      <c r="S11" s="539">
        <v>12.5</v>
      </c>
      <c r="T11" s="539">
        <v>17.5</v>
      </c>
      <c r="U11" s="539">
        <v>25</v>
      </c>
      <c r="V11" s="48"/>
    </row>
    <row r="12" spans="1:23" s="2" customFormat="1" ht="14.7" customHeight="1" x14ac:dyDescent="0.3">
      <c r="A12" s="1"/>
      <c r="B12" s="534" t="s">
        <v>205</v>
      </c>
      <c r="C12" s="535"/>
      <c r="D12" s="536"/>
      <c r="E12" s="536"/>
      <c r="F12" s="536"/>
      <c r="G12" s="536"/>
      <c r="H12" s="536"/>
      <c r="I12" s="536"/>
      <c r="J12" s="536"/>
      <c r="K12" s="536"/>
      <c r="L12" s="536"/>
      <c r="M12" s="536"/>
      <c r="N12" s="536"/>
      <c r="O12" s="536"/>
      <c r="P12" s="536"/>
      <c r="Q12" s="536"/>
      <c r="R12" s="536"/>
      <c r="S12" s="536"/>
      <c r="T12" s="536"/>
      <c r="U12" s="536"/>
    </row>
    <row r="13" spans="1:23" ht="14.7" customHeight="1" outlineLevel="1" x14ac:dyDescent="0.3">
      <c r="B13" s="463" t="s">
        <v>263</v>
      </c>
      <c r="C13" s="564">
        <v>155.5161245533059</v>
      </c>
      <c r="D13" s="564">
        <v>189.43884521143661</v>
      </c>
      <c r="E13" s="564">
        <v>283.72630181193205</v>
      </c>
      <c r="F13" s="564">
        <v>400.31055249970098</v>
      </c>
      <c r="G13" s="564">
        <v>492.06326960232809</v>
      </c>
      <c r="H13" s="564">
        <v>548.81361482823479</v>
      </c>
      <c r="I13" s="564">
        <v>594.22612230778839</v>
      </c>
      <c r="J13" s="564">
        <v>615.96873916492484</v>
      </c>
      <c r="K13" s="564">
        <v>616.80660588209446</v>
      </c>
      <c r="L13" s="564">
        <v>604.75111614094919</v>
      </c>
      <c r="M13" s="564">
        <v>593.6651168392998</v>
      </c>
      <c r="N13" s="564">
        <v>585.81898951418623</v>
      </c>
      <c r="O13" s="564">
        <v>580.65702749516026</v>
      </c>
      <c r="P13" s="564">
        <v>577.45547346313515</v>
      </c>
      <c r="Q13" s="564">
        <v>575.6623644321262</v>
      </c>
      <c r="R13" s="564">
        <v>574.8820922729368</v>
      </c>
      <c r="S13" s="564">
        <v>576.12844718774249</v>
      </c>
      <c r="T13" s="564">
        <v>582.63163164035404</v>
      </c>
      <c r="U13" s="564">
        <v>592.26890897844089</v>
      </c>
    </row>
    <row r="14" spans="1:23" ht="14.7" customHeight="1" outlineLevel="2" x14ac:dyDescent="0.3">
      <c r="B14" s="466" t="s">
        <v>207</v>
      </c>
      <c r="C14" s="47">
        <v>250</v>
      </c>
      <c r="D14" s="47">
        <v>250</v>
      </c>
      <c r="E14" s="47">
        <v>250</v>
      </c>
      <c r="F14" s="47">
        <v>250</v>
      </c>
      <c r="G14" s="47">
        <v>250</v>
      </c>
      <c r="H14" s="47">
        <v>250</v>
      </c>
      <c r="I14" s="47">
        <v>250</v>
      </c>
      <c r="J14" s="47">
        <v>250</v>
      </c>
      <c r="K14" s="47">
        <v>250</v>
      </c>
      <c r="L14" s="47">
        <v>250</v>
      </c>
      <c r="M14" s="47">
        <v>250</v>
      </c>
      <c r="N14" s="47">
        <v>250</v>
      </c>
      <c r="O14" s="47">
        <v>250</v>
      </c>
      <c r="P14" s="47">
        <v>250</v>
      </c>
      <c r="Q14" s="47">
        <v>250</v>
      </c>
      <c r="R14" s="47">
        <v>250</v>
      </c>
      <c r="S14" s="47">
        <v>250</v>
      </c>
      <c r="T14" s="47">
        <v>250</v>
      </c>
      <c r="U14" s="46">
        <v>250</v>
      </c>
      <c r="V14" s="1"/>
      <c r="W14" s="2"/>
    </row>
    <row r="15" spans="1:23" s="2" customFormat="1" ht="14.7" customHeight="1" outlineLevel="2" x14ac:dyDescent="0.3">
      <c r="A15" s="1"/>
      <c r="B15" s="466" t="s">
        <v>41</v>
      </c>
      <c r="C15" s="45">
        <v>-250</v>
      </c>
      <c r="D15" s="45">
        <v>-250</v>
      </c>
      <c r="E15" s="45">
        <v>-250</v>
      </c>
      <c r="F15" s="45">
        <v>-250</v>
      </c>
      <c r="G15" s="45">
        <v>-250</v>
      </c>
      <c r="H15" s="45">
        <v>-250</v>
      </c>
      <c r="I15" s="45">
        <v>-250</v>
      </c>
      <c r="J15" s="45">
        <v>-250</v>
      </c>
      <c r="K15" s="45">
        <v>-250</v>
      </c>
      <c r="L15" s="45">
        <v>-250</v>
      </c>
      <c r="M15" s="45">
        <v>-250</v>
      </c>
      <c r="N15" s="45">
        <v>-250</v>
      </c>
      <c r="O15" s="45">
        <v>-250</v>
      </c>
      <c r="P15" s="45">
        <v>-250</v>
      </c>
      <c r="Q15" s="45">
        <v>-250</v>
      </c>
      <c r="R15" s="45">
        <v>-250</v>
      </c>
      <c r="S15" s="45">
        <v>-250</v>
      </c>
      <c r="T15" s="45">
        <v>-250</v>
      </c>
      <c r="U15" s="44">
        <v>-250</v>
      </c>
      <c r="V15" s="1"/>
    </row>
    <row r="16" spans="1:23" s="2" customFormat="1" ht="14.7" customHeight="1" outlineLevel="2" x14ac:dyDescent="0.3">
      <c r="A16" s="1"/>
      <c r="B16" s="465" t="s">
        <v>38</v>
      </c>
      <c r="C16" s="45">
        <f t="shared" ref="C16:U16" si="0">350*EXP(-C11/4)</f>
        <v>349.75508572999513</v>
      </c>
      <c r="D16" s="45">
        <f t="shared" si="0"/>
        <v>346.37020318986214</v>
      </c>
      <c r="E16" s="45">
        <f t="shared" si="0"/>
        <v>335.71351236393855</v>
      </c>
      <c r="F16" s="45">
        <f t="shared" si="0"/>
        <v>318.67862648301195</v>
      </c>
      <c r="G16" s="45">
        <f t="shared" si="0"/>
        <v>299.37086455759788</v>
      </c>
      <c r="H16" s="45">
        <f t="shared" si="0"/>
        <v>281.23290079117129</v>
      </c>
      <c r="I16" s="45">
        <f t="shared" si="0"/>
        <v>256.06547013132462</v>
      </c>
      <c r="J16" s="45">
        <f t="shared" si="0"/>
        <v>225.97698424976221</v>
      </c>
      <c r="K16" s="45">
        <f t="shared" si="0"/>
        <v>187.34149998164659</v>
      </c>
      <c r="L16" s="45">
        <f t="shared" si="0"/>
        <v>145.90170688747793</v>
      </c>
      <c r="M16" s="45">
        <f t="shared" si="0"/>
        <v>113.62836357542241</v>
      </c>
      <c r="N16" s="45">
        <f t="shared" si="0"/>
        <v>88.49385853166126</v>
      </c>
      <c r="O16" s="45">
        <f t="shared" si="0"/>
        <v>68.919086321467915</v>
      </c>
      <c r="P16" s="45">
        <f t="shared" si="0"/>
        <v>53.674238395724963</v>
      </c>
      <c r="Q16" s="45">
        <f t="shared" si="0"/>
        <v>41.801538893351868</v>
      </c>
      <c r="R16" s="45">
        <f t="shared" si="0"/>
        <v>32.55507122373222</v>
      </c>
      <c r="S16" s="45">
        <f t="shared" si="0"/>
        <v>15.377926768192598</v>
      </c>
      <c r="T16" s="45">
        <f t="shared" si="0"/>
        <v>4.4058497848518998</v>
      </c>
      <c r="U16" s="44">
        <f t="shared" si="0"/>
        <v>0.67565894767969825</v>
      </c>
      <c r="V16" s="1"/>
    </row>
    <row r="17" spans="1:22" s="2" customFormat="1" ht="14.7" customHeight="1" outlineLevel="2" x14ac:dyDescent="0.3">
      <c r="A17" s="1"/>
      <c r="B17" s="465" t="s">
        <v>208</v>
      </c>
      <c r="C17" s="45">
        <f t="shared" ref="C17:U17" si="1">-350*EXP(-C11/4)</f>
        <v>-349.75508572999513</v>
      </c>
      <c r="D17" s="45">
        <f t="shared" si="1"/>
        <v>-346.37020318986214</v>
      </c>
      <c r="E17" s="45">
        <f t="shared" si="1"/>
        <v>-335.71351236393855</v>
      </c>
      <c r="F17" s="45">
        <f t="shared" si="1"/>
        <v>-318.67862648301195</v>
      </c>
      <c r="G17" s="45">
        <f t="shared" si="1"/>
        <v>-299.37086455759788</v>
      </c>
      <c r="H17" s="45">
        <f t="shared" si="1"/>
        <v>-281.23290079117129</v>
      </c>
      <c r="I17" s="45">
        <f t="shared" si="1"/>
        <v>-256.06547013132462</v>
      </c>
      <c r="J17" s="45">
        <f t="shared" si="1"/>
        <v>-225.97698424976221</v>
      </c>
      <c r="K17" s="45">
        <f t="shared" si="1"/>
        <v>-187.34149998164659</v>
      </c>
      <c r="L17" s="45">
        <f t="shared" si="1"/>
        <v>-145.90170688747793</v>
      </c>
      <c r="M17" s="45">
        <f t="shared" si="1"/>
        <v>-113.62836357542241</v>
      </c>
      <c r="N17" s="45">
        <f t="shared" si="1"/>
        <v>-88.49385853166126</v>
      </c>
      <c r="O17" s="45">
        <f t="shared" si="1"/>
        <v>-68.919086321467915</v>
      </c>
      <c r="P17" s="45">
        <f t="shared" si="1"/>
        <v>-53.674238395724963</v>
      </c>
      <c r="Q17" s="45">
        <f t="shared" si="1"/>
        <v>-41.801538893351868</v>
      </c>
      <c r="R17" s="45">
        <f t="shared" si="1"/>
        <v>-32.55507122373222</v>
      </c>
      <c r="S17" s="45">
        <f t="shared" si="1"/>
        <v>-15.377926768192598</v>
      </c>
      <c r="T17" s="45">
        <f t="shared" si="1"/>
        <v>-4.4058497848518998</v>
      </c>
      <c r="U17" s="44">
        <f t="shared" si="1"/>
        <v>-0.67565894767969825</v>
      </c>
      <c r="V17" s="1"/>
    </row>
    <row r="18" spans="1:22" s="2" customFormat="1" ht="14.7" customHeight="1" outlineLevel="2" x14ac:dyDescent="0.3">
      <c r="A18" s="1"/>
      <c r="B18" s="467" t="s">
        <v>238</v>
      </c>
      <c r="C18" s="45">
        <f t="shared" ref="C18:U18" si="2">150*(1-EXP(-C11/4))</f>
        <v>0.10496325857350386</v>
      </c>
      <c r="D18" s="45">
        <f t="shared" si="2"/>
        <v>1.5556272043448061</v>
      </c>
      <c r="E18" s="45">
        <f t="shared" si="2"/>
        <v>6.1227804154548977</v>
      </c>
      <c r="F18" s="45">
        <f t="shared" si="2"/>
        <v>13.423445792994876</v>
      </c>
      <c r="G18" s="45">
        <f t="shared" si="2"/>
        <v>21.698200903886622</v>
      </c>
      <c r="H18" s="45">
        <f t="shared" si="2"/>
        <v>29.471613946640886</v>
      </c>
      <c r="I18" s="45">
        <f t="shared" si="2"/>
        <v>40.257655658003735</v>
      </c>
      <c r="J18" s="45">
        <f t="shared" si="2"/>
        <v>53.152721035816192</v>
      </c>
      <c r="K18" s="45">
        <f t="shared" si="2"/>
        <v>69.710785722151456</v>
      </c>
      <c r="L18" s="45">
        <f t="shared" si="2"/>
        <v>87.470697048223727</v>
      </c>
      <c r="M18" s="45">
        <f t="shared" si="2"/>
        <v>101.30212989624754</v>
      </c>
      <c r="N18" s="45">
        <f t="shared" si="2"/>
        <v>112.07406062928803</v>
      </c>
      <c r="O18" s="45">
        <f t="shared" si="2"/>
        <v>120.4632487193709</v>
      </c>
      <c r="P18" s="45">
        <f t="shared" si="2"/>
        <v>126.99675497326074</v>
      </c>
      <c r="Q18" s="45">
        <f t="shared" si="2"/>
        <v>132.08505475999206</v>
      </c>
      <c r="R18" s="45">
        <f t="shared" si="2"/>
        <v>136.04782661840048</v>
      </c>
      <c r="S18" s="45">
        <f t="shared" si="2"/>
        <v>143.40945995648889</v>
      </c>
      <c r="T18" s="45">
        <f t="shared" si="2"/>
        <v>148.11177866363491</v>
      </c>
      <c r="U18" s="44">
        <f t="shared" si="2"/>
        <v>149.71043187956585</v>
      </c>
      <c r="V18" s="1"/>
    </row>
    <row r="19" spans="1:22" s="2" customFormat="1" ht="14.7" customHeight="1" outlineLevel="2" x14ac:dyDescent="0.3">
      <c r="A19" s="1"/>
      <c r="B19" s="468" t="s">
        <v>239</v>
      </c>
      <c r="C19" s="42">
        <f t="shared" ref="C19:U19" si="3">-150*(1-EXP(-C12/4))</f>
        <v>0</v>
      </c>
      <c r="D19" s="42">
        <f t="shared" si="3"/>
        <v>0</v>
      </c>
      <c r="E19" s="42">
        <f t="shared" si="3"/>
        <v>0</v>
      </c>
      <c r="F19" s="42">
        <f t="shared" si="3"/>
        <v>0</v>
      </c>
      <c r="G19" s="42">
        <f t="shared" si="3"/>
        <v>0</v>
      </c>
      <c r="H19" s="42">
        <f t="shared" si="3"/>
        <v>0</v>
      </c>
      <c r="I19" s="42">
        <f t="shared" si="3"/>
        <v>0</v>
      </c>
      <c r="J19" s="42">
        <f t="shared" si="3"/>
        <v>0</v>
      </c>
      <c r="K19" s="42">
        <f t="shared" si="3"/>
        <v>0</v>
      </c>
      <c r="L19" s="42">
        <f t="shared" si="3"/>
        <v>0</v>
      </c>
      <c r="M19" s="42">
        <f t="shared" si="3"/>
        <v>0</v>
      </c>
      <c r="N19" s="42">
        <f t="shared" si="3"/>
        <v>0</v>
      </c>
      <c r="O19" s="42">
        <f t="shared" si="3"/>
        <v>0</v>
      </c>
      <c r="P19" s="42">
        <f t="shared" si="3"/>
        <v>0</v>
      </c>
      <c r="Q19" s="42">
        <f t="shared" si="3"/>
        <v>0</v>
      </c>
      <c r="R19" s="42">
        <f t="shared" si="3"/>
        <v>0</v>
      </c>
      <c r="S19" s="42">
        <f t="shared" si="3"/>
        <v>0</v>
      </c>
      <c r="T19" s="42">
        <f t="shared" si="3"/>
        <v>0</v>
      </c>
      <c r="U19" s="41">
        <f t="shared" si="3"/>
        <v>0</v>
      </c>
      <c r="V19" s="1"/>
    </row>
    <row r="20" spans="1:22" s="2" customFormat="1" ht="14.7" customHeight="1" outlineLevel="1" x14ac:dyDescent="0.3">
      <c r="A20" s="615"/>
      <c r="B20" s="466" t="s">
        <v>40</v>
      </c>
      <c r="C20" s="43">
        <f>IF(($C$13+C14)&lt;-150,-150,($C$13+C14))</f>
        <v>405.51612455330587</v>
      </c>
      <c r="D20" s="43">
        <f>IF(($D$13+D14)&lt;-150,-150,($D$13+D14))</f>
        <v>439.43884521143661</v>
      </c>
      <c r="E20" s="43">
        <f>IF(($E$13+E14)&lt;-150,-150,($E$13+E14))</f>
        <v>533.72630181193199</v>
      </c>
      <c r="F20" s="43">
        <f>IF(($F$13+F14)&lt;-150,-150,($F$13+F14))</f>
        <v>650.31055249970098</v>
      </c>
      <c r="G20" s="43">
        <f>IF(($G$13+G14)&lt;-150,-150,($G$13+G14))</f>
        <v>742.06326960232809</v>
      </c>
      <c r="H20" s="43">
        <f>IF(($H$13+H14)&lt;-150,-150,($H$13+H14))</f>
        <v>798.81361482823479</v>
      </c>
      <c r="I20" s="43">
        <f>IF(($I$13+I14)&lt;-148.5,-148.5,($I$13+I14))</f>
        <v>844.22612230778839</v>
      </c>
      <c r="J20" s="43">
        <f>IF(($J$13+J14)&lt;-147,-147,($J$13+J14))</f>
        <v>865.96873916492484</v>
      </c>
      <c r="K20" s="43">
        <f>IF(($K$13+K14)&lt;-144,-144,($K$13+K14))</f>
        <v>866.80660588209446</v>
      </c>
      <c r="L20" s="43">
        <f>IF(($L$13+L14)&lt;-141,-141,($L$13+L14))</f>
        <v>854.75111614094919</v>
      </c>
      <c r="M20" s="43">
        <f>IF(($M$13+M14)&lt;-138,-138,($M$13+M14))</f>
        <v>843.6651168392998</v>
      </c>
      <c r="N20" s="43">
        <f>IF(($N$13+N14)&lt;-135,-135,($N$13+N14))</f>
        <v>835.81898951418623</v>
      </c>
      <c r="O20" s="43">
        <f>IF(($O$13+O14)&lt;-132,-132,($O$13+O14))</f>
        <v>830.65702749516026</v>
      </c>
      <c r="P20" s="43">
        <f>IF(($P$13+P14)&lt;-129,-129,($P$13+P14))</f>
        <v>827.45547346313515</v>
      </c>
      <c r="Q20" s="43">
        <f>IF(($Q$13+Q14)&lt;-126,-126,($Q$13+Q14))</f>
        <v>825.6623644321262</v>
      </c>
      <c r="R20" s="43">
        <f>IF(($R$13+R14)&lt;-123,-123,($R$13+R14))</f>
        <v>824.8820922729368</v>
      </c>
      <c r="S20" s="43">
        <f>IF(($S$13+S14)&lt;-108,-108,($S$13+S14))</f>
        <v>826.12844718774249</v>
      </c>
      <c r="T20" s="43">
        <f>IF(($T$13+T14)&lt;-93,-93,($T$13+T14))</f>
        <v>832.63163164035404</v>
      </c>
      <c r="U20" s="46">
        <f>IF(($U$13+U14)&lt;0,0,($U$13+U14))</f>
        <v>842.26890897844089</v>
      </c>
    </row>
    <row r="21" spans="1:22" s="2" customFormat="1" ht="14.7" customHeight="1" outlineLevel="1" x14ac:dyDescent="0.3">
      <c r="A21" s="615"/>
      <c r="B21" s="466" t="s">
        <v>41</v>
      </c>
      <c r="C21" s="43">
        <f t="shared" ref="C21:C23" si="4">IF(($C$13+C15)&lt;-150,-150,($C$13+C15))</f>
        <v>-94.4838754466941</v>
      </c>
      <c r="D21" s="43">
        <f t="shared" ref="D21:D23" si="5">IF(($D$13+D15)&lt;-150,-150,($D$13+D15))</f>
        <v>-60.561154788563385</v>
      </c>
      <c r="E21" s="43">
        <f t="shared" ref="E21:E23" si="6">IF(($E$13+E15)&lt;-150,-150,($E$13+E15))</f>
        <v>33.726301811932046</v>
      </c>
      <c r="F21" s="43">
        <f t="shared" ref="F21:F23" si="7">IF(($F$13+F15)&lt;-150,-150,($F$13+F15))</f>
        <v>150.31055249970098</v>
      </c>
      <c r="G21" s="43">
        <f t="shared" ref="G21:G23" si="8">IF(($G$13+G15)&lt;-150,-150,($G$13+G15))</f>
        <v>242.06326960232809</v>
      </c>
      <c r="H21" s="43">
        <f t="shared" ref="H21:H23" si="9">IF(($H$13+H15)&lt;-150,-150,($H$13+H15))</f>
        <v>298.81361482823479</v>
      </c>
      <c r="I21" s="43">
        <f t="shared" ref="I21:I23" si="10">IF(($I$13+I15)&lt;-148.5,-148.5,($I$13+I15))</f>
        <v>344.22612230778839</v>
      </c>
      <c r="J21" s="43">
        <f t="shared" ref="J21:J23" si="11">IF(($J$13+J15)&lt;-147,-147,($J$13+J15))</f>
        <v>365.96873916492484</v>
      </c>
      <c r="K21" s="43">
        <f t="shared" ref="K21:K23" si="12">IF(($K$13+K15)&lt;-144,-144,($K$13+K15))</f>
        <v>366.80660588209446</v>
      </c>
      <c r="L21" s="43">
        <f t="shared" ref="L21:L23" si="13">IF(($L$13+L15)&lt;-141,-141,($L$13+L15))</f>
        <v>354.75111614094919</v>
      </c>
      <c r="M21" s="43">
        <f t="shared" ref="M21:M23" si="14">IF(($M$13+M15)&lt;-138,-138,($M$13+M15))</f>
        <v>343.6651168392998</v>
      </c>
      <c r="N21" s="43">
        <f t="shared" ref="N21:N23" si="15">IF(($N$13+N15)&lt;-135,-135,($N$13+N15))</f>
        <v>335.81898951418623</v>
      </c>
      <c r="O21" s="43">
        <f t="shared" ref="O21:O23" si="16">IF(($O$13+O15)&lt;-132,-132,($O$13+O15))</f>
        <v>330.65702749516026</v>
      </c>
      <c r="P21" s="43">
        <f t="shared" ref="P21:P23" si="17">IF(($P$13+P15)&lt;-129,-129,($P$13+P15))</f>
        <v>327.45547346313515</v>
      </c>
      <c r="Q21" s="43">
        <f t="shared" ref="Q21:Q23" si="18">IF(($Q$13+Q15)&lt;-126,-126,($Q$13+Q15))</f>
        <v>325.6623644321262</v>
      </c>
      <c r="R21" s="43">
        <f t="shared" ref="R21:R23" si="19">IF(($R$13+R15)&lt;-123,-123,($R$13+R15))</f>
        <v>324.8820922729368</v>
      </c>
      <c r="S21" s="43">
        <f t="shared" ref="S21:S23" si="20">IF(($S$13+S15)&lt;-108,-108,($S$13+S15))</f>
        <v>326.12844718774249</v>
      </c>
      <c r="T21" s="43">
        <f t="shared" ref="T21:T23" si="21">IF(($T$13+T15)&lt;-93,-93,($T$13+T15))</f>
        <v>332.63163164035404</v>
      </c>
      <c r="U21" s="44">
        <f t="shared" ref="U21:U23" si="22">IF(($U$13+U15)&lt;0,0,($U$13+U15))</f>
        <v>342.26890897844089</v>
      </c>
    </row>
    <row r="22" spans="1:22" s="2" customFormat="1" ht="14.7" customHeight="1" outlineLevel="1" x14ac:dyDescent="0.3">
      <c r="A22" s="615"/>
      <c r="B22" s="465" t="s">
        <v>38</v>
      </c>
      <c r="C22" s="43">
        <f t="shared" si="4"/>
        <v>505.271210283301</v>
      </c>
      <c r="D22" s="43">
        <f t="shared" si="5"/>
        <v>535.8090484012987</v>
      </c>
      <c r="E22" s="43">
        <f t="shared" si="6"/>
        <v>619.43981417587065</v>
      </c>
      <c r="F22" s="43">
        <f t="shared" si="7"/>
        <v>718.98917898271293</v>
      </c>
      <c r="G22" s="43">
        <f t="shared" si="8"/>
        <v>791.43413415992597</v>
      </c>
      <c r="H22" s="43">
        <f t="shared" si="9"/>
        <v>830.04651561940614</v>
      </c>
      <c r="I22" s="43">
        <f t="shared" si="10"/>
        <v>850.29159243911295</v>
      </c>
      <c r="J22" s="43">
        <f t="shared" si="11"/>
        <v>841.94572341468711</v>
      </c>
      <c r="K22" s="43">
        <f t="shared" si="12"/>
        <v>804.14810586374108</v>
      </c>
      <c r="L22" s="43">
        <f t="shared" si="13"/>
        <v>750.65282302842706</v>
      </c>
      <c r="M22" s="43">
        <f t="shared" si="14"/>
        <v>707.29348041472224</v>
      </c>
      <c r="N22" s="43">
        <f t="shared" si="15"/>
        <v>674.31284804584743</v>
      </c>
      <c r="O22" s="43">
        <f t="shared" si="16"/>
        <v>649.57611381662821</v>
      </c>
      <c r="P22" s="43">
        <f t="shared" si="17"/>
        <v>631.12971185886011</v>
      </c>
      <c r="Q22" s="43">
        <f t="shared" si="18"/>
        <v>617.4639033254781</v>
      </c>
      <c r="R22" s="43">
        <f t="shared" si="19"/>
        <v>607.43716349666897</v>
      </c>
      <c r="S22" s="43">
        <f t="shared" si="20"/>
        <v>591.50637395593515</v>
      </c>
      <c r="T22" s="43">
        <f t="shared" si="21"/>
        <v>587.0374814252059</v>
      </c>
      <c r="U22" s="44">
        <f t="shared" si="22"/>
        <v>592.94456792612061</v>
      </c>
    </row>
    <row r="23" spans="1:22" s="2" customFormat="1" ht="14.7" customHeight="1" outlineLevel="1" x14ac:dyDescent="0.3">
      <c r="A23" s="615"/>
      <c r="B23" s="465" t="s">
        <v>208</v>
      </c>
      <c r="C23" s="43">
        <f t="shared" si="4"/>
        <v>-150</v>
      </c>
      <c r="D23" s="43">
        <f t="shared" si="5"/>
        <v>-150</v>
      </c>
      <c r="E23" s="43">
        <f t="shared" si="6"/>
        <v>-51.987210552006502</v>
      </c>
      <c r="F23" s="43">
        <f t="shared" si="7"/>
        <v>81.631926016689022</v>
      </c>
      <c r="G23" s="43">
        <f t="shared" si="8"/>
        <v>192.69240504473021</v>
      </c>
      <c r="H23" s="43">
        <f t="shared" si="9"/>
        <v>267.5807140370635</v>
      </c>
      <c r="I23" s="43">
        <f t="shared" si="10"/>
        <v>338.16065217646377</v>
      </c>
      <c r="J23" s="43">
        <f t="shared" si="11"/>
        <v>389.99175491516263</v>
      </c>
      <c r="K23" s="43">
        <f t="shared" si="12"/>
        <v>429.46510590044784</v>
      </c>
      <c r="L23" s="43">
        <f t="shared" si="13"/>
        <v>458.84940925347126</v>
      </c>
      <c r="M23" s="43">
        <f t="shared" si="14"/>
        <v>480.03675326387736</v>
      </c>
      <c r="N23" s="43">
        <f t="shared" si="15"/>
        <v>497.32513098252497</v>
      </c>
      <c r="O23" s="43">
        <f t="shared" si="16"/>
        <v>511.73794117369232</v>
      </c>
      <c r="P23" s="43">
        <f t="shared" si="17"/>
        <v>523.78123506741019</v>
      </c>
      <c r="Q23" s="43">
        <f t="shared" si="18"/>
        <v>533.86082553877429</v>
      </c>
      <c r="R23" s="43">
        <f t="shared" si="19"/>
        <v>542.32702104920463</v>
      </c>
      <c r="S23" s="43">
        <f t="shared" si="20"/>
        <v>560.75052041954984</v>
      </c>
      <c r="T23" s="43">
        <f t="shared" si="21"/>
        <v>578.22578185550219</v>
      </c>
      <c r="U23" s="44">
        <f t="shared" si="22"/>
        <v>591.59325003076117</v>
      </c>
    </row>
    <row r="24" spans="1:22" s="2" customFormat="1" ht="14.7" customHeight="1" outlineLevel="1" x14ac:dyDescent="0.3">
      <c r="A24" s="615"/>
      <c r="B24" s="473" t="s">
        <v>33</v>
      </c>
      <c r="C24" s="43">
        <f>IF((C13+(-0.65)*C16+0.9*C18)&lt;-150,-150,(C13+(-0.65)*C16+0.9*C18))</f>
        <v>-71.730214238474787</v>
      </c>
      <c r="D24" s="43">
        <f t="shared" ref="D24:H24" si="23">IF((D13+(-0.65)*D16+0.9*D18)&lt;-150,-150,(D13+(-0.65)*D16+0.9*D18))</f>
        <v>-34.301722378063445</v>
      </c>
      <c r="E24" s="43">
        <f t="shared" si="23"/>
        <v>71.023021149281377</v>
      </c>
      <c r="F24" s="43">
        <f t="shared" si="23"/>
        <v>205.25054649943857</v>
      </c>
      <c r="G24" s="43">
        <f t="shared" si="23"/>
        <v>317.00058845338742</v>
      </c>
      <c r="H24" s="43">
        <f t="shared" si="23"/>
        <v>392.53668186595024</v>
      </c>
      <c r="I24" s="43">
        <f>IF((I13+(-0.65)*I16+0.9*I18)&lt;-148.5,-148.5,(I13+(-0.65)*I16+0.9*I18))</f>
        <v>464.01545681463074</v>
      </c>
      <c r="J24" s="43">
        <f>IF((J13+(-0.65)*J16+0.9*J18)&lt;-147,-147,(J13+(-0.65)*J16+0.9*J18))</f>
        <v>516.92114833481401</v>
      </c>
      <c r="K24" s="43">
        <f>IF((K13+(-0.65)*K16+0.9*K18)&lt;-144,-144,(K13+(-0.65)*K16+0.9*K18))</f>
        <v>557.77433804396048</v>
      </c>
      <c r="L24" s="43">
        <f>IF((L13+(-0.65)*L16+0.9*L18)&lt;-141,-141,(L13+(-0.65)*L16+0.9*L18))</f>
        <v>588.63863400748994</v>
      </c>
      <c r="M24" s="43">
        <f>IF((M13+(-0.65)*M16+0.9*M18)&lt;-138,-138,(M13+(-0.65)*M16+0.9*M18))</f>
        <v>610.97859742189803</v>
      </c>
      <c r="N24" s="43">
        <f>IF((N13+(-0.65)*N16+0.9*N18)&lt;-135,-135,(N13+(-0.65)*N16+0.9*N18))</f>
        <v>629.16463603496561</v>
      </c>
      <c r="O24" s="43">
        <f>IF((O13+(-0.65)*O16+0.9*O18)&lt;-132,-132,(O13+(-0.65)*O16+0.9*O18))</f>
        <v>644.27654523363992</v>
      </c>
      <c r="P24" s="43">
        <f>IF((P13+(-0.65)*P16+0.9*P18)&lt;-129,-129,(P13+(-0.65)*P16+0.9*P18))</f>
        <v>656.86429798184861</v>
      </c>
      <c r="Q24" s="43">
        <f>IF((Q13+(-0.65)*Q16+0.9*Q18)&lt;-126,-126,(Q13+(-0.65)*Q16+0.9*Q18))</f>
        <v>667.3679134354403</v>
      </c>
      <c r="R24" s="43">
        <f>IF((R13+(-0.65)*R16+0.9*R18)&lt;-123,-123,(R13+(-0.65)*R16+0.9*R18))</f>
        <v>676.16433993407134</v>
      </c>
      <c r="S24" s="43">
        <f>IF((S13+(-0.65)*S16+0.9*S18)&lt;-108,-108,(S13+(-0.65)*S16+0.9*S18))</f>
        <v>695.20130874925735</v>
      </c>
      <c r="T24" s="43">
        <f>IF((T13+(-0.65)*T16+0.9*T18)&lt;-93,-93,(T13+(-0.65)*T16+0.9*T18))</f>
        <v>713.0684300774717</v>
      </c>
      <c r="U24" s="44">
        <f>IF((U13+(-0.65)*U16+0.9*U18)&lt;0,0,(U13+(-0.65)*U16+0.9*U18))</f>
        <v>726.56911935405833</v>
      </c>
    </row>
    <row r="25" spans="1:22" s="2" customFormat="1" ht="14.7" customHeight="1" outlineLevel="1" x14ac:dyDescent="0.3">
      <c r="A25" s="1"/>
      <c r="B25" s="474" t="s">
        <v>52</v>
      </c>
      <c r="C25" s="42">
        <f>IF((C13+(0.8)*C16-0.6*C18)&lt;-150,-150,(C13+(0.8)*C16-0.6*C18))</f>
        <v>435.25721518215789</v>
      </c>
      <c r="D25" s="42">
        <f t="shared" ref="D25:H25" si="24">IF((D13+(0.8)*D16-0.6*D18)&lt;-150,-150,(D13+(0.8)*D16-0.6*D18))</f>
        <v>465.60163144071947</v>
      </c>
      <c r="E25" s="42">
        <f t="shared" si="24"/>
        <v>548.62344345380995</v>
      </c>
      <c r="F25" s="42">
        <f t="shared" si="24"/>
        <v>647.19938621031361</v>
      </c>
      <c r="G25" s="42">
        <f t="shared" si="24"/>
        <v>718.54104070607434</v>
      </c>
      <c r="H25" s="42">
        <f t="shared" si="24"/>
        <v>756.11696709318721</v>
      </c>
      <c r="I25" s="42">
        <f>IF((I13+(0.8)*I16-0.6*I18)&lt;-148.5,-148.5,(I13+(0.8)*I16-0.6*I18))</f>
        <v>774.92390501804596</v>
      </c>
      <c r="J25" s="42">
        <f>IF((J13+(0.8)*J16-0.6*J18)&lt;-147,-147,(J13+(0.8)*J16-0.6*J18))</f>
        <v>764.85869394324493</v>
      </c>
      <c r="K25" s="42">
        <f>IF((K13+(0.8)*K16-0.6*K18)&lt;-144,-144,(K13+(0.8)*K16-0.6*K18))</f>
        <v>724.85333443412082</v>
      </c>
      <c r="L25" s="42">
        <f>IF((L13+(0.8)*L16-0.6*L18)&lt;-141,-141,(L13+(0.8)*L16-0.6*L18))</f>
        <v>668.99006342199732</v>
      </c>
      <c r="M25" s="42">
        <f>IF((M13+(0.8)*M16-0.6*M18)&lt;-138,-138,(M13+(0.8)*M16-0.6*M18))</f>
        <v>623.78652976188926</v>
      </c>
      <c r="N25" s="42">
        <f>IF((N13+(0.8)*N16-0.6*N18)&lt;-135,-135,(N13+(0.8)*N16-0.6*N18))</f>
        <v>589.36963996194243</v>
      </c>
      <c r="O25" s="42">
        <f>IF((O13+(0.8)*O16-0.6*O18)&lt;-132,-132,(O13+(0.8)*O16-0.6*O18))</f>
        <v>563.51434732071209</v>
      </c>
      <c r="P25" s="42">
        <f>IF((P13+(0.8)*P16-0.6*P18)&lt;-129,-129,(P13+(0.8)*P16-0.6*P18))</f>
        <v>544.19681119575864</v>
      </c>
      <c r="Q25" s="42">
        <f>IF((Q13+(0.8)*Q16-0.6*Q18)&lt;-126,-126,(Q13+(0.8)*Q16-0.6*Q18))</f>
        <v>529.85256269081242</v>
      </c>
      <c r="R25" s="42">
        <f>IF((R13+(0.8)*R16-0.6*R18)&lt;-123,-123,(R13+(0.8)*R16-0.6*R18))</f>
        <v>519.29745328088222</v>
      </c>
      <c r="S25" s="42">
        <f>IF((S13+(0.8)*S16-0.6*S18)&lt;-108,-108,(S13+(0.8)*S16-0.6*S18))</f>
        <v>502.38511262840331</v>
      </c>
      <c r="T25" s="42">
        <f>IF((T13+(0.8)*T16-0.6*T18)&lt;-93,-93,(T13+(0.8)*T16-0.6*T18))</f>
        <v>497.28924427005461</v>
      </c>
      <c r="U25" s="41">
        <f>IF((U13+(0.8)*U16-0.6*U18)&lt;0,0,(U13+(0.8)*U16-0.6*U18))</f>
        <v>502.98317700884513</v>
      </c>
    </row>
    <row r="26" spans="1:22" s="1" customFormat="1" ht="14.7" customHeight="1" x14ac:dyDescent="0.3">
      <c r="B26" s="469" t="s">
        <v>203</v>
      </c>
      <c r="C26" s="40"/>
      <c r="D26" s="40"/>
      <c r="E26" s="40"/>
      <c r="F26" s="40"/>
      <c r="G26" s="40"/>
      <c r="H26" s="40"/>
      <c r="I26" s="40"/>
      <c r="J26" s="40"/>
      <c r="K26" s="40"/>
      <c r="L26" s="40"/>
      <c r="M26" s="40"/>
      <c r="N26" s="40"/>
      <c r="O26" s="40"/>
      <c r="P26" s="40"/>
      <c r="Q26" s="40"/>
      <c r="R26" s="40"/>
      <c r="S26" s="40"/>
      <c r="T26" s="40"/>
      <c r="U26" s="39"/>
    </row>
    <row r="27" spans="1:22" s="1" customFormat="1" ht="14.7" customHeight="1" outlineLevel="1" x14ac:dyDescent="0.3">
      <c r="B27" s="463" t="s">
        <v>18</v>
      </c>
      <c r="C27" s="14">
        <f>EXP(-C13/10000*C$11)</f>
        <v>0.99995645643317366</v>
      </c>
      <c r="D27" s="14">
        <f t="shared" ref="D27:U27" si="25">EXP(-D13/10000*D$11)</f>
        <v>0.99921035195171248</v>
      </c>
      <c r="E27" s="14">
        <f t="shared" si="25"/>
        <v>0.99528145004906832</v>
      </c>
      <c r="F27" s="14">
        <f t="shared" si="25"/>
        <v>0.98510046733328938</v>
      </c>
      <c r="G27" s="14">
        <f t="shared" si="25"/>
        <v>0.96971413767110837</v>
      </c>
      <c r="H27" s="14">
        <f t="shared" si="25"/>
        <v>0.95311358914990441</v>
      </c>
      <c r="I27" s="14">
        <f t="shared" si="25"/>
        <v>0.92841331269542249</v>
      </c>
      <c r="J27" s="14">
        <f t="shared" si="25"/>
        <v>0.89781205150206733</v>
      </c>
      <c r="K27" s="14">
        <f t="shared" si="25"/>
        <v>0.85709916827637156</v>
      </c>
      <c r="L27" s="14">
        <f t="shared" si="25"/>
        <v>0.80923745310204731</v>
      </c>
      <c r="M27" s="14">
        <f t="shared" si="25"/>
        <v>0.7655587630356242</v>
      </c>
      <c r="N27" s="14">
        <f t="shared" si="25"/>
        <v>0.72455294331457853</v>
      </c>
      <c r="O27" s="14">
        <f t="shared" si="25"/>
        <v>0.68562320372024343</v>
      </c>
      <c r="P27" s="14">
        <f t="shared" si="25"/>
        <v>0.64850108307909871</v>
      </c>
      <c r="Q27" s="14">
        <f t="shared" si="25"/>
        <v>0.613047407132844</v>
      </c>
      <c r="R27" s="14">
        <f t="shared" si="25"/>
        <v>0.57918230585585362</v>
      </c>
      <c r="S27" s="14">
        <f t="shared" si="25"/>
        <v>0.486674109785668</v>
      </c>
      <c r="T27" s="14">
        <f t="shared" si="25"/>
        <v>0.36073727511361198</v>
      </c>
      <c r="U27" s="38">
        <f t="shared" si="25"/>
        <v>0.22748470526714668</v>
      </c>
    </row>
    <row r="28" spans="1:22" s="1" customFormat="1" ht="14.7" customHeight="1" outlineLevel="1" x14ac:dyDescent="0.3">
      <c r="B28" s="466" t="s">
        <v>40</v>
      </c>
      <c r="C28" s="20">
        <f t="shared" ref="C28:U33" si="26">EXP(-C20/10000*C$11)</f>
        <v>0.99988646193105957</v>
      </c>
      <c r="D28" s="20">
        <f t="shared" si="26"/>
        <v>0.9981692179451962</v>
      </c>
      <c r="E28" s="20">
        <f t="shared" si="26"/>
        <v>0.99114224566395248</v>
      </c>
      <c r="F28" s="20">
        <f t="shared" si="26"/>
        <v>0.97590830603343437</v>
      </c>
      <c r="G28" s="20">
        <f t="shared" si="26"/>
        <v>0.95468011345097825</v>
      </c>
      <c r="H28" s="20">
        <f t="shared" si="26"/>
        <v>0.93249061552266588</v>
      </c>
      <c r="I28" s="20">
        <f t="shared" si="26"/>
        <v>0.89984903799468186</v>
      </c>
      <c r="J28" s="20">
        <f t="shared" si="26"/>
        <v>0.85937961380197347</v>
      </c>
      <c r="K28" s="20">
        <f t="shared" si="26"/>
        <v>0.80517015480538889</v>
      </c>
      <c r="L28" s="20">
        <f t="shared" si="26"/>
        <v>0.74143862617878775</v>
      </c>
      <c r="M28" s="20">
        <f t="shared" si="26"/>
        <v>0.68410127970431056</v>
      </c>
      <c r="N28" s="20">
        <f t="shared" si="26"/>
        <v>0.63147277849019878</v>
      </c>
      <c r="O28" s="20">
        <f t="shared" si="26"/>
        <v>0.58279075499409294</v>
      </c>
      <c r="P28" s="20">
        <f t="shared" si="26"/>
        <v>0.53762628104409971</v>
      </c>
      <c r="Q28" s="20">
        <f t="shared" si="26"/>
        <v>0.49568580543137852</v>
      </c>
      <c r="R28" s="20">
        <f t="shared" si="26"/>
        <v>0.45674136570917717</v>
      </c>
      <c r="S28" s="20">
        <f t="shared" si="26"/>
        <v>0.35605838492288844</v>
      </c>
      <c r="T28" s="20">
        <f t="shared" si="26"/>
        <v>0.23290949010471668</v>
      </c>
      <c r="U28" s="37">
        <f t="shared" si="26"/>
        <v>0.12176378830751437</v>
      </c>
    </row>
    <row r="29" spans="1:22" s="1" customFormat="1" ht="14.7" customHeight="1" outlineLevel="1" x14ac:dyDescent="0.3">
      <c r="B29" s="466" t="s">
        <v>41</v>
      </c>
      <c r="C29" s="20">
        <f t="shared" si="26"/>
        <v>1.0000264558350744</v>
      </c>
      <c r="D29" s="20">
        <f>EXP(-D21/10000*D$11)</f>
        <v>1.0002525719063826</v>
      </c>
      <c r="E29" s="20">
        <f>EXP(-E21/10000*E$11)</f>
        <v>0.99943794056341206</v>
      </c>
      <c r="F29" s="20">
        <f t="shared" si="26"/>
        <v>0.99437921036304677</v>
      </c>
      <c r="G29" s="20">
        <f t="shared" si="26"/>
        <v>0.98498491332354221</v>
      </c>
      <c r="H29" s="20">
        <f t="shared" si="26"/>
        <v>0.97419266070901489</v>
      </c>
      <c r="I29" s="20">
        <f t="shared" si="26"/>
        <v>0.95788431480790515</v>
      </c>
      <c r="J29" s="20">
        <f t="shared" si="26"/>
        <v>0.93796323170413531</v>
      </c>
      <c r="K29" s="20">
        <f t="shared" si="26"/>
        <v>0.91237731537330347</v>
      </c>
      <c r="L29" s="20">
        <f t="shared" si="26"/>
        <v>0.88323595828574553</v>
      </c>
      <c r="M29" s="20">
        <f t="shared" si="26"/>
        <v>0.8567155727496325</v>
      </c>
      <c r="N29" s="20">
        <f t="shared" si="26"/>
        <v>0.83135328322623347</v>
      </c>
      <c r="O29" s="20">
        <f t="shared" si="26"/>
        <v>0.8066002651060844</v>
      </c>
      <c r="P29" s="20">
        <f t="shared" si="26"/>
        <v>0.7822416231922773</v>
      </c>
      <c r="Q29" s="20">
        <f t="shared" si="26"/>
        <v>0.75819625915096223</v>
      </c>
      <c r="R29" s="20">
        <f t="shared" si="26"/>
        <v>0.73444660063940304</v>
      </c>
      <c r="S29" s="20">
        <f t="shared" si="26"/>
        <v>0.66520463824203258</v>
      </c>
      <c r="T29" s="20">
        <f t="shared" si="26"/>
        <v>0.55872082154267899</v>
      </c>
      <c r="U29" s="37">
        <f t="shared" si="26"/>
        <v>0.42499738099300738</v>
      </c>
    </row>
    <row r="30" spans="1:22" s="1" customFormat="1" ht="14.7" customHeight="1" outlineLevel="1" x14ac:dyDescent="0.3">
      <c r="B30" s="465" t="s">
        <v>38</v>
      </c>
      <c r="C30" s="20">
        <f t="shared" si="26"/>
        <v>0.99985853406836933</v>
      </c>
      <c r="D30" s="20">
        <f t="shared" si="26"/>
        <v>0.99776817051144107</v>
      </c>
      <c r="E30" s="20">
        <f t="shared" si="26"/>
        <v>0.98972706903846741</v>
      </c>
      <c r="F30" s="20">
        <f t="shared" si="26"/>
        <v>0.97339813824864507</v>
      </c>
      <c r="G30" s="20">
        <f t="shared" si="26"/>
        <v>0.95173881732159016</v>
      </c>
      <c r="H30" s="20">
        <f t="shared" si="26"/>
        <v>0.92994571071251375</v>
      </c>
      <c r="I30" s="20">
        <f t="shared" si="26"/>
        <v>0.89916704563228844</v>
      </c>
      <c r="J30" s="20">
        <f t="shared" si="26"/>
        <v>0.86300007447788607</v>
      </c>
      <c r="K30" s="20">
        <f t="shared" si="26"/>
        <v>0.81788214770772982</v>
      </c>
      <c r="L30" s="20">
        <f t="shared" si="26"/>
        <v>0.76895064825300163</v>
      </c>
      <c r="M30" s="20">
        <f t="shared" si="26"/>
        <v>0.72739758521249254</v>
      </c>
      <c r="N30" s="20">
        <f t="shared" si="26"/>
        <v>0.69013222699420584</v>
      </c>
      <c r="O30" s="20">
        <f t="shared" si="26"/>
        <v>0.65558686068278105</v>
      </c>
      <c r="P30" s="20">
        <f t="shared" si="26"/>
        <v>0.62291370571227567</v>
      </c>
      <c r="Q30" s="20">
        <f t="shared" si="26"/>
        <v>0.59164746616071051</v>
      </c>
      <c r="R30" s="20">
        <f t="shared" si="26"/>
        <v>0.56154391072590837</v>
      </c>
      <c r="S30" s="20">
        <f t="shared" si="26"/>
        <v>0.47740840118367023</v>
      </c>
      <c r="T30" s="20">
        <f t="shared" si="26"/>
        <v>0.35796660018938675</v>
      </c>
      <c r="U30" s="37">
        <f t="shared" si="26"/>
        <v>0.22710077442488422</v>
      </c>
    </row>
    <row r="31" spans="1:22" s="1" customFormat="1" ht="14.7" customHeight="1" outlineLevel="1" x14ac:dyDescent="0.3">
      <c r="B31" s="465" t="s">
        <v>208</v>
      </c>
      <c r="C31" s="20">
        <f t="shared" si="26"/>
        <v>1.0000420008820123</v>
      </c>
      <c r="D31" s="20">
        <f t="shared" si="26"/>
        <v>1.0006256956659192</v>
      </c>
      <c r="E31" s="20">
        <f t="shared" si="26"/>
        <v>1.0008670024294095</v>
      </c>
      <c r="F31" s="20">
        <f t="shared" si="26"/>
        <v>0.99694348346121453</v>
      </c>
      <c r="G31" s="20">
        <f t="shared" si="26"/>
        <v>0.98802895467221552</v>
      </c>
      <c r="H31" s="20">
        <f t="shared" si="26"/>
        <v>0.97685865245422521</v>
      </c>
      <c r="I31" s="20">
        <f t="shared" si="26"/>
        <v>0.95861084253145623</v>
      </c>
      <c r="J31" s="20">
        <f t="shared" si="26"/>
        <v>0.93402828535098326</v>
      </c>
      <c r="K31" s="20">
        <f t="shared" si="26"/>
        <v>0.89819662443905546</v>
      </c>
      <c r="L31" s="20">
        <f t="shared" si="26"/>
        <v>0.85163496121746329</v>
      </c>
      <c r="M31" s="20">
        <f t="shared" si="26"/>
        <v>0.80572197595270423</v>
      </c>
      <c r="N31" s="20">
        <f t="shared" si="26"/>
        <v>0.76069041139014415</v>
      </c>
      <c r="O31" s="20">
        <f t="shared" si="26"/>
        <v>0.71703569072453954</v>
      </c>
      <c r="P31" s="20">
        <f t="shared" si="26"/>
        <v>0.67513951113642379</v>
      </c>
      <c r="Q31" s="20">
        <f t="shared" si="26"/>
        <v>0.6352213858551643</v>
      </c>
      <c r="R31" s="20">
        <f t="shared" si="26"/>
        <v>0.5973747324280736</v>
      </c>
      <c r="S31" s="20">
        <f t="shared" si="26"/>
        <v>0.49611965048882756</v>
      </c>
      <c r="T31" s="20">
        <f t="shared" si="26"/>
        <v>0.3635293951657671</v>
      </c>
      <c r="U31" s="37">
        <f t="shared" si="26"/>
        <v>0.22786928517320917</v>
      </c>
    </row>
    <row r="32" spans="1:22" s="1" customFormat="1" ht="14.7" customHeight="1" outlineLevel="1" x14ac:dyDescent="0.3">
      <c r="B32" s="473" t="s">
        <v>33</v>
      </c>
      <c r="C32" s="20">
        <f t="shared" si="26"/>
        <v>1.0000200846616809</v>
      </c>
      <c r="D32" s="20">
        <f t="shared" si="26"/>
        <v>1.0001430484127651</v>
      </c>
      <c r="E32" s="20">
        <f t="shared" si="26"/>
        <v>0.99881674683417876</v>
      </c>
      <c r="F32" s="20">
        <f t="shared" si="26"/>
        <v>0.99233264975556446</v>
      </c>
      <c r="G32" s="20">
        <f t="shared" si="26"/>
        <v>0.98038244173229583</v>
      </c>
      <c r="H32" s="20">
        <f t="shared" si="26"/>
        <v>0.96623620148542866</v>
      </c>
      <c r="I32" s="20">
        <f t="shared" si="26"/>
        <v>0.9436481242107706</v>
      </c>
      <c r="J32" s="20">
        <f t="shared" si="26"/>
        <v>0.91350977651702392</v>
      </c>
      <c r="K32" s="20">
        <f t="shared" si="26"/>
        <v>0.86984209438731441</v>
      </c>
      <c r="L32" s="20">
        <f t="shared" si="26"/>
        <v>0.81381393360568721</v>
      </c>
      <c r="M32" s="20">
        <f t="shared" si="26"/>
        <v>0.75961741874238953</v>
      </c>
      <c r="N32" s="20">
        <f t="shared" si="26"/>
        <v>0.70748379818471496</v>
      </c>
      <c r="O32" s="20">
        <f t="shared" si="26"/>
        <v>0.65784906767486828</v>
      </c>
      <c r="P32" s="20">
        <f t="shared" si="26"/>
        <v>0.61100616888520032</v>
      </c>
      <c r="Q32" s="20">
        <f t="shared" si="26"/>
        <v>0.56707555712286328</v>
      </c>
      <c r="R32" s="20">
        <f t="shared" si="26"/>
        <v>0.52605152070252603</v>
      </c>
      <c r="S32" s="20">
        <f t="shared" si="26"/>
        <v>0.41937002427918302</v>
      </c>
      <c r="T32" s="20">
        <f t="shared" si="26"/>
        <v>0.28711577348321832</v>
      </c>
      <c r="U32" s="37">
        <f t="shared" si="26"/>
        <v>0.16260638761984467</v>
      </c>
    </row>
    <row r="33" spans="1:22" s="1" customFormat="1" ht="14.7" customHeight="1" outlineLevel="1" x14ac:dyDescent="0.3">
      <c r="B33" s="474" t="s">
        <v>52</v>
      </c>
      <c r="C33" s="17">
        <f t="shared" si="26"/>
        <v>0.99987813540584203</v>
      </c>
      <c r="D33" s="17">
        <f t="shared" si="26"/>
        <v>0.99806032480294393</v>
      </c>
      <c r="E33" s="17">
        <f t="shared" si="26"/>
        <v>0.99089614056587871</v>
      </c>
      <c r="F33" s="17">
        <f t="shared" si="26"/>
        <v>0.97602217066389885</v>
      </c>
      <c r="G33" s="17">
        <f t="shared" si="26"/>
        <v>0.95608465839582812</v>
      </c>
      <c r="H33" s="17">
        <f t="shared" si="26"/>
        <v>0.93598087573469735</v>
      </c>
      <c r="I33" s="17">
        <f t="shared" si="26"/>
        <v>0.90767809140205291</v>
      </c>
      <c r="J33" s="17">
        <f t="shared" si="26"/>
        <v>0.87472102551828801</v>
      </c>
      <c r="K33" s="17">
        <f t="shared" si="26"/>
        <v>0.83425736457637278</v>
      </c>
      <c r="L33" s="17">
        <f t="shared" si="26"/>
        <v>0.79124587231750509</v>
      </c>
      <c r="M33" s="17">
        <f t="shared" si="26"/>
        <v>0.75525190347597093</v>
      </c>
      <c r="N33" s="17">
        <f t="shared" si="26"/>
        <v>0.72313937518462124</v>
      </c>
      <c r="O33" s="17">
        <f t="shared" si="26"/>
        <v>0.69330564852892662</v>
      </c>
      <c r="P33" s="17">
        <f t="shared" si="26"/>
        <v>0.6648807296001833</v>
      </c>
      <c r="Q33" s="17">
        <f t="shared" si="26"/>
        <v>0.63738929094880736</v>
      </c>
      <c r="R33" s="17">
        <f t="shared" si="26"/>
        <v>0.61058816550488493</v>
      </c>
      <c r="S33" s="17">
        <f t="shared" si="26"/>
        <v>0.53366798155252404</v>
      </c>
      <c r="T33" s="17">
        <f t="shared" si="26"/>
        <v>0.4188442370446841</v>
      </c>
      <c r="U33" s="36">
        <f t="shared" si="26"/>
        <v>0.28437600861018753</v>
      </c>
    </row>
    <row r="34" spans="1:22" s="1" customFormat="1" ht="14.7" customHeight="1" x14ac:dyDescent="0.25">
      <c r="L34" s="6"/>
    </row>
    <row r="35" spans="1:22" x14ac:dyDescent="0.3">
      <c r="B35" s="475" t="s">
        <v>242</v>
      </c>
      <c r="C35" s="247" t="s">
        <v>0</v>
      </c>
      <c r="D35" s="247" t="s">
        <v>51</v>
      </c>
      <c r="E35" s="248" t="s">
        <v>3</v>
      </c>
      <c r="F35" s="247" t="s">
        <v>4</v>
      </c>
      <c r="G35" s="248" t="s">
        <v>5</v>
      </c>
      <c r="H35" s="248" t="s">
        <v>6</v>
      </c>
      <c r="I35" s="247" t="s">
        <v>19</v>
      </c>
      <c r="J35" s="248" t="s">
        <v>20</v>
      </c>
      <c r="K35" s="247" t="s">
        <v>21</v>
      </c>
      <c r="L35" s="247" t="s">
        <v>22</v>
      </c>
      <c r="M35" s="247" t="s">
        <v>23</v>
      </c>
      <c r="N35" s="247" t="s">
        <v>24</v>
      </c>
      <c r="O35" s="247" t="s">
        <v>25</v>
      </c>
      <c r="P35" s="247" t="s">
        <v>26</v>
      </c>
      <c r="Q35" s="247" t="s">
        <v>27</v>
      </c>
      <c r="R35" s="248" t="s">
        <v>28</v>
      </c>
      <c r="S35" s="247" t="s">
        <v>29</v>
      </c>
      <c r="T35" s="247" t="s">
        <v>30</v>
      </c>
      <c r="U35" s="249" t="s">
        <v>31</v>
      </c>
    </row>
    <row r="36" spans="1:22" x14ac:dyDescent="0.3">
      <c r="A36" s="24">
        <f t="shared" ref="A36:A42" si="27">1/2/12</f>
        <v>4.1666666666666664E-2</v>
      </c>
      <c r="B36" s="463" t="s">
        <v>18</v>
      </c>
      <c r="C36" s="35">
        <f>C13</f>
        <v>155.5161245533059</v>
      </c>
      <c r="D36" s="34">
        <f>D13</f>
        <v>189.43884521143661</v>
      </c>
      <c r="E36" s="34">
        <f t="shared" ref="E36:U36" si="28">E13</f>
        <v>283.72630181193205</v>
      </c>
      <c r="F36" s="34">
        <f t="shared" si="28"/>
        <v>400.31055249970098</v>
      </c>
      <c r="G36" s="34">
        <f t="shared" si="28"/>
        <v>492.06326960232809</v>
      </c>
      <c r="H36" s="34">
        <f t="shared" si="28"/>
        <v>548.81361482823479</v>
      </c>
      <c r="I36" s="34">
        <f t="shared" si="28"/>
        <v>594.22612230778839</v>
      </c>
      <c r="J36" s="34">
        <f t="shared" si="28"/>
        <v>615.96873916492484</v>
      </c>
      <c r="K36" s="34">
        <f t="shared" si="28"/>
        <v>616.80660588209446</v>
      </c>
      <c r="L36" s="34">
        <f t="shared" si="28"/>
        <v>604.75111614094919</v>
      </c>
      <c r="M36" s="34">
        <f t="shared" si="28"/>
        <v>593.6651168392998</v>
      </c>
      <c r="N36" s="34">
        <f t="shared" si="28"/>
        <v>585.81898951418623</v>
      </c>
      <c r="O36" s="34">
        <f t="shared" si="28"/>
        <v>580.65702749516026</v>
      </c>
      <c r="P36" s="34">
        <f t="shared" si="28"/>
        <v>577.45547346313515</v>
      </c>
      <c r="Q36" s="34">
        <f t="shared" si="28"/>
        <v>575.6623644321262</v>
      </c>
      <c r="R36" s="34">
        <f t="shared" si="28"/>
        <v>574.8820922729368</v>
      </c>
      <c r="S36" s="34">
        <f t="shared" si="28"/>
        <v>576.12844718774249</v>
      </c>
      <c r="T36" s="34">
        <f t="shared" si="28"/>
        <v>582.63163164035404</v>
      </c>
      <c r="U36" s="33">
        <f t="shared" si="28"/>
        <v>592.26890897844089</v>
      </c>
    </row>
    <row r="37" spans="1:22" x14ac:dyDescent="0.3">
      <c r="A37" s="24">
        <f t="shared" si="27"/>
        <v>4.1666666666666664E-2</v>
      </c>
      <c r="B37" s="480" t="s">
        <v>40</v>
      </c>
      <c r="C37" s="32">
        <f t="shared" ref="C37:C42" si="29">C20</f>
        <v>405.51612455330587</v>
      </c>
      <c r="D37" s="32">
        <f>-LOG(E28/D28)/$D$11*10000</f>
        <v>735.77582344387224</v>
      </c>
      <c r="E37" s="32">
        <f t="shared" ref="E37:E42" si="30">-LOG(F28/E28)/$E$11*10000</f>
        <v>403.53768592838685</v>
      </c>
      <c r="F37" s="32">
        <f t="shared" ref="F37:T42" si="31">-LOG(G28/F28)/F$11*10000</f>
        <v>254.69702087821847</v>
      </c>
      <c r="G37" s="32">
        <f t="shared" si="31"/>
        <v>163.41449977335262</v>
      </c>
      <c r="H37" s="32">
        <f t="shared" si="31"/>
        <v>176.85500700641086</v>
      </c>
      <c r="I37" s="32">
        <f t="shared" si="31"/>
        <v>159.87687649120849</v>
      </c>
      <c r="J37" s="32">
        <f t="shared" si="31"/>
        <v>161.69930623978584</v>
      </c>
      <c r="K37" s="32">
        <f t="shared" si="31"/>
        <v>143.24984458504326</v>
      </c>
      <c r="L37" s="32">
        <f t="shared" si="31"/>
        <v>99.870870196216032</v>
      </c>
      <c r="M37" s="32">
        <f t="shared" si="31"/>
        <v>77.257264646384513</v>
      </c>
      <c r="N37" s="32">
        <f t="shared" si="31"/>
        <v>63.349054451216738</v>
      </c>
      <c r="O37" s="32">
        <f t="shared" si="31"/>
        <v>53.895636003558195</v>
      </c>
      <c r="P37" s="32">
        <f t="shared" si="31"/>
        <v>47.032010480790568</v>
      </c>
      <c r="Q37" s="32">
        <f t="shared" si="31"/>
        <v>41.807219270992498</v>
      </c>
      <c r="R37" s="32">
        <f t="shared" si="31"/>
        <v>113.84118799576328</v>
      </c>
      <c r="S37" s="32">
        <f t="shared" si="31"/>
        <v>147.46722635437081</v>
      </c>
      <c r="T37" s="32">
        <f t="shared" si="31"/>
        <v>160.95373327479211</v>
      </c>
      <c r="U37" s="32">
        <f t="shared" ref="U37:U42" si="32">T37</f>
        <v>160.95373327479211</v>
      </c>
    </row>
    <row r="38" spans="1:22" x14ac:dyDescent="0.3">
      <c r="A38" s="24">
        <f t="shared" si="27"/>
        <v>4.1666666666666664E-2</v>
      </c>
      <c r="B38" s="480" t="s">
        <v>41</v>
      </c>
      <c r="C38" s="32">
        <f t="shared" si="29"/>
        <v>-94.4838754466941</v>
      </c>
      <c r="D38" s="32">
        <f t="shared" ref="D38:D42" si="33">-LOG(E29/D29)/$D$11*10000</f>
        <v>84.854837377863177</v>
      </c>
      <c r="E38" s="32">
        <f t="shared" si="30"/>
        <v>132.20133145793878</v>
      </c>
      <c r="F38" s="32">
        <f t="shared" si="31"/>
        <v>109.9321935771347</v>
      </c>
      <c r="G38" s="32">
        <f t="shared" si="31"/>
        <v>76.555603392701613</v>
      </c>
      <c r="H38" s="32">
        <f t="shared" si="31"/>
        <v>83.791903741429181</v>
      </c>
      <c r="I38" s="32">
        <f t="shared" si="31"/>
        <v>73.017980110557914</v>
      </c>
      <c r="J38" s="32">
        <f t="shared" si="31"/>
        <v>68.636202974803552</v>
      </c>
      <c r="K38" s="32">
        <f t="shared" si="31"/>
        <v>56.390948204392814</v>
      </c>
      <c r="L38" s="32">
        <f t="shared" si="31"/>
        <v>37.828801352894594</v>
      </c>
      <c r="M38" s="32">
        <f t="shared" si="31"/>
        <v>29.002322212690014</v>
      </c>
      <c r="N38" s="32">
        <f t="shared" si="31"/>
        <v>23.867737914557356</v>
      </c>
      <c r="O38" s="32">
        <f t="shared" si="31"/>
        <v>20.48836816484663</v>
      </c>
      <c r="P38" s="32">
        <f t="shared" si="31"/>
        <v>18.079045020573673</v>
      </c>
      <c r="Q38" s="32">
        <f t="shared" si="31"/>
        <v>16.260485041389462</v>
      </c>
      <c r="R38" s="32">
        <f t="shared" si="31"/>
        <v>45.268375063670852</v>
      </c>
      <c r="S38" s="32">
        <f t="shared" si="31"/>
        <v>60.608329973720579</v>
      </c>
      <c r="T38" s="32">
        <f t="shared" si="31"/>
        <v>67.890630009809428</v>
      </c>
      <c r="U38" s="32">
        <f t="shared" si="32"/>
        <v>67.890630009809428</v>
      </c>
    </row>
    <row r="39" spans="1:22" x14ac:dyDescent="0.3">
      <c r="A39" s="24">
        <f t="shared" si="27"/>
        <v>4.1666666666666664E-2</v>
      </c>
      <c r="B39" s="465" t="s">
        <v>38</v>
      </c>
      <c r="C39" s="32">
        <f t="shared" si="29"/>
        <v>505.271210283301</v>
      </c>
      <c r="D39" s="32">
        <f t="shared" si="33"/>
        <v>842.73312939706705</v>
      </c>
      <c r="E39" s="32">
        <f t="shared" si="30"/>
        <v>433.40954527032267</v>
      </c>
      <c r="F39" s="32">
        <f t="shared" si="31"/>
        <v>260.60609577888175</v>
      </c>
      <c r="G39" s="32">
        <f t="shared" si="31"/>
        <v>160.96299278360738</v>
      </c>
      <c r="H39" s="32">
        <f t="shared" si="31"/>
        <v>167.0538736935213</v>
      </c>
      <c r="I39" s="32">
        <f t="shared" si="31"/>
        <v>142.63638783242055</v>
      </c>
      <c r="J39" s="32">
        <f t="shared" si="31"/>
        <v>133.2577397012094</v>
      </c>
      <c r="K39" s="32">
        <f t="shared" si="31"/>
        <v>107.1690454033069</v>
      </c>
      <c r="L39" s="32">
        <f t="shared" si="31"/>
        <v>68.933178372561159</v>
      </c>
      <c r="M39" s="32">
        <f t="shared" si="31"/>
        <v>50.75454868202403</v>
      </c>
      <c r="N39" s="32">
        <f t="shared" si="31"/>
        <v>40.549213152437446</v>
      </c>
      <c r="O39" s="32">
        <f t="shared" si="31"/>
        <v>34.157468068847635</v>
      </c>
      <c r="P39" s="32">
        <f t="shared" si="31"/>
        <v>29.819836895032211</v>
      </c>
      <c r="Q39" s="32">
        <f t="shared" si="31"/>
        <v>26.681513774935382</v>
      </c>
      <c r="R39" s="32">
        <f t="shared" si="31"/>
        <v>74.203857868938513</v>
      </c>
      <c r="S39" s="32">
        <f t="shared" si="31"/>
        <v>100.03804017502553</v>
      </c>
      <c r="T39" s="32">
        <f t="shared" si="31"/>
        <v>112.92793818211042</v>
      </c>
      <c r="U39" s="32">
        <f t="shared" si="32"/>
        <v>112.92793818211042</v>
      </c>
    </row>
    <row r="40" spans="1:22" x14ac:dyDescent="0.3">
      <c r="A40" s="24">
        <f t="shared" si="27"/>
        <v>4.1666666666666664E-2</v>
      </c>
      <c r="B40" s="465" t="s">
        <v>208</v>
      </c>
      <c r="C40" s="32">
        <f t="shared" si="29"/>
        <v>-150</v>
      </c>
      <c r="D40" s="32">
        <f t="shared" si="33"/>
        <v>-25.112719097461781</v>
      </c>
      <c r="E40" s="32">
        <f t="shared" si="30"/>
        <v>102.32947211600214</v>
      </c>
      <c r="F40" s="32">
        <f t="shared" si="31"/>
        <v>104.02311867647107</v>
      </c>
      <c r="G40" s="32">
        <f t="shared" si="31"/>
        <v>79.007110382447465</v>
      </c>
      <c r="H40" s="32">
        <f t="shared" si="31"/>
        <v>93.593037054319012</v>
      </c>
      <c r="I40" s="32">
        <f t="shared" si="31"/>
        <v>90.258468769345555</v>
      </c>
      <c r="J40" s="32">
        <f t="shared" si="31"/>
        <v>97.077769513380005</v>
      </c>
      <c r="K40" s="32">
        <f t="shared" si="31"/>
        <v>92.471747386129067</v>
      </c>
      <c r="L40" s="32">
        <f t="shared" si="31"/>
        <v>68.766493176549417</v>
      </c>
      <c r="M40" s="32">
        <f t="shared" si="31"/>
        <v>55.505038177050565</v>
      </c>
      <c r="N40" s="32">
        <f t="shared" si="31"/>
        <v>46.667579213336715</v>
      </c>
      <c r="O40" s="32">
        <f t="shared" si="31"/>
        <v>40.22653609955713</v>
      </c>
      <c r="P40" s="32">
        <f t="shared" si="31"/>
        <v>35.291218606331846</v>
      </c>
      <c r="Q40" s="32">
        <f t="shared" si="31"/>
        <v>31.386190537446698</v>
      </c>
      <c r="R40" s="32">
        <f t="shared" si="31"/>
        <v>84.90570519049551</v>
      </c>
      <c r="S40" s="32">
        <f t="shared" si="31"/>
        <v>108.03751615306602</v>
      </c>
      <c r="T40" s="32">
        <f t="shared" si="31"/>
        <v>115.91642510249093</v>
      </c>
      <c r="U40" s="32">
        <f t="shared" si="32"/>
        <v>115.91642510249093</v>
      </c>
    </row>
    <row r="41" spans="1:22" x14ac:dyDescent="0.3">
      <c r="A41" s="24">
        <f t="shared" si="27"/>
        <v>4.1666666666666664E-2</v>
      </c>
      <c r="B41" s="481" t="s">
        <v>33</v>
      </c>
      <c r="C41" s="32">
        <f t="shared" si="29"/>
        <v>-71.730214238474787</v>
      </c>
      <c r="D41" s="32">
        <f t="shared" si="33"/>
        <v>138.20270484156609</v>
      </c>
      <c r="E41" s="32">
        <f t="shared" si="30"/>
        <v>169.67814365955419</v>
      </c>
      <c r="F41" s="32">
        <f t="shared" si="31"/>
        <v>140.31349745665014</v>
      </c>
      <c r="G41" s="32">
        <f t="shared" si="31"/>
        <v>100.99551450520266</v>
      </c>
      <c r="H41" s="32">
        <f t="shared" si="31"/>
        <v>117.40827428159263</v>
      </c>
      <c r="I41" s="32">
        <f t="shared" si="31"/>
        <v>112.77505080885223</v>
      </c>
      <c r="J41" s="32">
        <f t="shared" si="31"/>
        <v>121.55873649871361</v>
      </c>
      <c r="K41" s="32">
        <f t="shared" si="31"/>
        <v>115.66119765859803</v>
      </c>
      <c r="L41" s="32">
        <f t="shared" si="31"/>
        <v>85.514875242888991</v>
      </c>
      <c r="M41" s="32">
        <f t="shared" si="31"/>
        <v>68.618702803702178</v>
      </c>
      <c r="N41" s="32">
        <f t="shared" si="31"/>
        <v>57.436791215036422</v>
      </c>
      <c r="O41" s="32">
        <f t="shared" si="31"/>
        <v>49.354874630843369</v>
      </c>
      <c r="P41" s="32">
        <f t="shared" si="31"/>
        <v>43.206222525435116</v>
      </c>
      <c r="Q41" s="32">
        <f t="shared" si="31"/>
        <v>38.367820864484408</v>
      </c>
      <c r="R41" s="32">
        <f t="shared" si="31"/>
        <v>103.61146909861681</v>
      </c>
      <c r="S41" s="32">
        <f t="shared" si="31"/>
        <v>131.63226596116374</v>
      </c>
      <c r="T41" s="32">
        <f t="shared" si="31"/>
        <v>141.09682882190023</v>
      </c>
      <c r="U41" s="32">
        <f t="shared" si="32"/>
        <v>141.09682882190023</v>
      </c>
    </row>
    <row r="42" spans="1:22" x14ac:dyDescent="0.3">
      <c r="A42" s="24">
        <f t="shared" si="27"/>
        <v>4.1666666666666664E-2</v>
      </c>
      <c r="B42" s="482" t="s">
        <v>52</v>
      </c>
      <c r="C42" s="31">
        <f t="shared" si="29"/>
        <v>435.25721518215789</v>
      </c>
      <c r="D42" s="31">
        <f t="shared" si="33"/>
        <v>750.27694041867926</v>
      </c>
      <c r="E42" s="31">
        <f t="shared" si="30"/>
        <v>394.02843212719529</v>
      </c>
      <c r="F42" s="31">
        <f t="shared" si="31"/>
        <v>239.02222621046886</v>
      </c>
      <c r="G42" s="31">
        <f t="shared" si="31"/>
        <v>147.66998807512334</v>
      </c>
      <c r="H42" s="31">
        <f t="shared" si="31"/>
        <v>152.40139615265903</v>
      </c>
      <c r="I42" s="31">
        <f t="shared" si="31"/>
        <v>128.49829845713396</v>
      </c>
      <c r="J42" s="31">
        <f t="shared" si="31"/>
        <v>117.54009454745048</v>
      </c>
      <c r="K42" s="31">
        <f t="shared" si="31"/>
        <v>91.954366855280909</v>
      </c>
      <c r="L42" s="31">
        <f t="shared" si="31"/>
        <v>57.770368414935042</v>
      </c>
      <c r="M42" s="31">
        <f t="shared" si="31"/>
        <v>41.932930772672556</v>
      </c>
      <c r="N42" s="31">
        <f t="shared" si="31"/>
        <v>33.267765716955843</v>
      </c>
      <c r="O42" s="31">
        <f t="shared" si="31"/>
        <v>27.970757914145047</v>
      </c>
      <c r="P42" s="31">
        <f t="shared" si="31"/>
        <v>24.451977920441792</v>
      </c>
      <c r="Q42" s="31">
        <f t="shared" si="31"/>
        <v>21.948682277534953</v>
      </c>
      <c r="R42" s="31">
        <f t="shared" si="31"/>
        <v>61.554984474831777</v>
      </c>
      <c r="S42" s="31">
        <f t="shared" si="31"/>
        <v>84.174882369992957</v>
      </c>
      <c r="T42" s="31">
        <f t="shared" si="31"/>
        <v>96.091194253831318</v>
      </c>
      <c r="U42" s="31">
        <f t="shared" si="32"/>
        <v>96.091194253831318</v>
      </c>
    </row>
    <row r="43" spans="1:22" x14ac:dyDescent="0.3">
      <c r="A43" s="24"/>
      <c r="B43" s="30"/>
      <c r="C43" s="29"/>
      <c r="D43" s="29"/>
      <c r="E43" s="29"/>
      <c r="F43" s="29"/>
      <c r="G43" s="29"/>
      <c r="H43" s="29"/>
      <c r="I43" s="29"/>
      <c r="J43" s="29"/>
      <c r="K43" s="29"/>
      <c r="L43" s="29"/>
      <c r="M43" s="29"/>
      <c r="N43" s="29"/>
      <c r="O43" s="29"/>
      <c r="P43" s="29"/>
      <c r="Q43" s="29"/>
      <c r="R43" s="29"/>
      <c r="S43" s="29"/>
      <c r="T43" s="29"/>
      <c r="U43" s="29"/>
    </row>
    <row r="44" spans="1:22" ht="25.95" customHeight="1" x14ac:dyDescent="0.3">
      <c r="B44" s="475" t="s">
        <v>243</v>
      </c>
      <c r="C44" s="247" t="s">
        <v>0</v>
      </c>
      <c r="D44" s="247" t="s">
        <v>51</v>
      </c>
      <c r="E44" s="248" t="s">
        <v>3</v>
      </c>
      <c r="F44" s="247" t="s">
        <v>4</v>
      </c>
      <c r="G44" s="248" t="s">
        <v>5</v>
      </c>
      <c r="H44" s="248" t="s">
        <v>6</v>
      </c>
      <c r="I44" s="247" t="s">
        <v>19</v>
      </c>
      <c r="J44" s="248" t="s">
        <v>20</v>
      </c>
      <c r="K44" s="247" t="s">
        <v>21</v>
      </c>
      <c r="L44" s="247" t="s">
        <v>22</v>
      </c>
      <c r="M44" s="247" t="s">
        <v>23</v>
      </c>
      <c r="N44" s="247" t="s">
        <v>24</v>
      </c>
      <c r="O44" s="247" t="s">
        <v>25</v>
      </c>
      <c r="P44" s="247" t="s">
        <v>26</v>
      </c>
      <c r="Q44" s="247" t="s">
        <v>27</v>
      </c>
      <c r="R44" s="248" t="s">
        <v>28</v>
      </c>
      <c r="S44" s="247" t="s">
        <v>29</v>
      </c>
      <c r="T44" s="247" t="s">
        <v>30</v>
      </c>
      <c r="U44" s="249" t="s">
        <v>31</v>
      </c>
    </row>
    <row r="45" spans="1:22" x14ac:dyDescent="0.3">
      <c r="A45" s="24">
        <f t="shared" ref="A45:A51" si="34">1/2/12</f>
        <v>4.1666666666666664E-2</v>
      </c>
      <c r="B45" s="463" t="s">
        <v>18</v>
      </c>
      <c r="C45" s="28">
        <f t="shared" ref="C45:U45" si="35">$C$4+C36</f>
        <v>455.51612455330587</v>
      </c>
      <c r="D45" s="28">
        <f t="shared" si="35"/>
        <v>489.43884521143661</v>
      </c>
      <c r="E45" s="28">
        <f t="shared" si="35"/>
        <v>583.72630181193199</v>
      </c>
      <c r="F45" s="28">
        <f t="shared" si="35"/>
        <v>700.31055249970098</v>
      </c>
      <c r="G45" s="28">
        <f t="shared" si="35"/>
        <v>792.06326960232809</v>
      </c>
      <c r="H45" s="28">
        <f t="shared" si="35"/>
        <v>848.81361482823479</v>
      </c>
      <c r="I45" s="28">
        <f t="shared" si="35"/>
        <v>894.22612230778839</v>
      </c>
      <c r="J45" s="28">
        <f t="shared" si="35"/>
        <v>915.96873916492484</v>
      </c>
      <c r="K45" s="28">
        <f t="shared" si="35"/>
        <v>916.80660588209446</v>
      </c>
      <c r="L45" s="28">
        <f t="shared" si="35"/>
        <v>904.75111614094919</v>
      </c>
      <c r="M45" s="28">
        <f t="shared" si="35"/>
        <v>893.6651168392998</v>
      </c>
      <c r="N45" s="28">
        <f t="shared" si="35"/>
        <v>885.81898951418623</v>
      </c>
      <c r="O45" s="28">
        <f t="shared" si="35"/>
        <v>880.65702749516026</v>
      </c>
      <c r="P45" s="28">
        <f t="shared" si="35"/>
        <v>877.45547346313515</v>
      </c>
      <c r="Q45" s="28">
        <f t="shared" si="35"/>
        <v>875.6623644321262</v>
      </c>
      <c r="R45" s="28">
        <f t="shared" si="35"/>
        <v>874.8820922729368</v>
      </c>
      <c r="S45" s="28">
        <f t="shared" si="35"/>
        <v>876.12844718774249</v>
      </c>
      <c r="T45" s="28">
        <f t="shared" si="35"/>
        <v>882.63163164035404</v>
      </c>
      <c r="U45" s="27">
        <f t="shared" si="35"/>
        <v>892.26890897844089</v>
      </c>
    </row>
    <row r="46" spans="1:22" x14ac:dyDescent="0.3">
      <c r="A46" s="24">
        <f t="shared" si="34"/>
        <v>4.1666666666666664E-2</v>
      </c>
      <c r="B46" s="480" t="s">
        <v>40</v>
      </c>
      <c r="C46" s="26">
        <f t="shared" ref="C46:U51" si="36">C37+$C$4</f>
        <v>705.51612455330587</v>
      </c>
      <c r="D46" s="26">
        <f>D37+$C$4</f>
        <v>1035.7758234438722</v>
      </c>
      <c r="E46" s="26">
        <f t="shared" si="36"/>
        <v>703.53768592838685</v>
      </c>
      <c r="F46" s="26">
        <f t="shared" si="36"/>
        <v>554.6970208782185</v>
      </c>
      <c r="G46" s="26">
        <f t="shared" si="36"/>
        <v>463.41449977335265</v>
      </c>
      <c r="H46" s="26">
        <f t="shared" si="36"/>
        <v>476.85500700641086</v>
      </c>
      <c r="I46" s="26">
        <f t="shared" si="36"/>
        <v>459.87687649120846</v>
      </c>
      <c r="J46" s="26">
        <f t="shared" si="36"/>
        <v>461.69930623978587</v>
      </c>
      <c r="K46" s="26">
        <f t="shared" si="36"/>
        <v>443.24984458504326</v>
      </c>
      <c r="L46" s="26">
        <f t="shared" si="36"/>
        <v>399.87087019621606</v>
      </c>
      <c r="M46" s="26">
        <f t="shared" si="36"/>
        <v>377.2572646463845</v>
      </c>
      <c r="N46" s="26">
        <f t="shared" si="36"/>
        <v>363.34905445121672</v>
      </c>
      <c r="O46" s="26">
        <f t="shared" si="36"/>
        <v>353.8956360035582</v>
      </c>
      <c r="P46" s="26">
        <f t="shared" si="36"/>
        <v>347.03201048079058</v>
      </c>
      <c r="Q46" s="26">
        <f t="shared" si="36"/>
        <v>341.8072192709925</v>
      </c>
      <c r="R46" s="26">
        <f t="shared" si="36"/>
        <v>413.84118799576328</v>
      </c>
      <c r="S46" s="26">
        <f t="shared" si="36"/>
        <v>447.46722635437084</v>
      </c>
      <c r="T46" s="26">
        <f t="shared" si="36"/>
        <v>460.95373327479211</v>
      </c>
      <c r="U46" s="25">
        <f t="shared" si="36"/>
        <v>460.95373327479211</v>
      </c>
      <c r="V46" s="159"/>
    </row>
    <row r="47" spans="1:22" x14ac:dyDescent="0.3">
      <c r="A47" s="24">
        <f t="shared" si="34"/>
        <v>4.1666666666666664E-2</v>
      </c>
      <c r="B47" s="480" t="s">
        <v>41</v>
      </c>
      <c r="C47" s="26">
        <f t="shared" si="36"/>
        <v>205.5161245533059</v>
      </c>
      <c r="D47" s="26">
        <f t="shared" si="36"/>
        <v>384.85483737786319</v>
      </c>
      <c r="E47" s="26">
        <f t="shared" si="36"/>
        <v>432.20133145793875</v>
      </c>
      <c r="F47" s="26">
        <f t="shared" si="36"/>
        <v>409.93219357713468</v>
      </c>
      <c r="G47" s="26">
        <f t="shared" si="36"/>
        <v>376.55560339270164</v>
      </c>
      <c r="H47" s="26">
        <f t="shared" si="36"/>
        <v>383.79190374142917</v>
      </c>
      <c r="I47" s="26">
        <f t="shared" si="36"/>
        <v>373.01798011055791</v>
      </c>
      <c r="J47" s="26">
        <f t="shared" si="36"/>
        <v>368.63620297480355</v>
      </c>
      <c r="K47" s="26">
        <f t="shared" si="36"/>
        <v>356.39094820439283</v>
      </c>
      <c r="L47" s="26">
        <f t="shared" si="36"/>
        <v>337.82880135289457</v>
      </c>
      <c r="M47" s="26">
        <f t="shared" si="36"/>
        <v>329.00232221268999</v>
      </c>
      <c r="N47" s="26">
        <f t="shared" si="36"/>
        <v>323.86773791455738</v>
      </c>
      <c r="O47" s="26">
        <f t="shared" si="36"/>
        <v>320.48836816484663</v>
      </c>
      <c r="P47" s="26">
        <f t="shared" si="36"/>
        <v>318.07904502057369</v>
      </c>
      <c r="Q47" s="26">
        <f t="shared" si="36"/>
        <v>316.26048504138947</v>
      </c>
      <c r="R47" s="26">
        <f t="shared" si="36"/>
        <v>345.26837506367087</v>
      </c>
      <c r="S47" s="26">
        <f t="shared" si="36"/>
        <v>360.60832997372057</v>
      </c>
      <c r="T47" s="26">
        <f t="shared" si="36"/>
        <v>367.89063000980946</v>
      </c>
      <c r="U47" s="25">
        <f t="shared" si="36"/>
        <v>367.89063000980946</v>
      </c>
      <c r="V47" s="159"/>
    </row>
    <row r="48" spans="1:22" x14ac:dyDescent="0.3">
      <c r="A48" s="24">
        <f t="shared" si="34"/>
        <v>4.1666666666666664E-2</v>
      </c>
      <c r="B48" s="465" t="s">
        <v>38</v>
      </c>
      <c r="C48" s="26">
        <f t="shared" si="36"/>
        <v>805.271210283301</v>
      </c>
      <c r="D48" s="26">
        <f t="shared" si="36"/>
        <v>1142.7331293970669</v>
      </c>
      <c r="E48" s="26">
        <f t="shared" si="36"/>
        <v>733.40954527032272</v>
      </c>
      <c r="F48" s="26">
        <f t="shared" si="36"/>
        <v>560.60609577888181</v>
      </c>
      <c r="G48" s="26">
        <f t="shared" si="36"/>
        <v>460.96299278360738</v>
      </c>
      <c r="H48" s="26">
        <f t="shared" si="36"/>
        <v>467.05387369352127</v>
      </c>
      <c r="I48" s="26">
        <f t="shared" si="36"/>
        <v>442.63638783242055</v>
      </c>
      <c r="J48" s="26">
        <f t="shared" si="36"/>
        <v>433.2577397012094</v>
      </c>
      <c r="K48" s="26">
        <f t="shared" si="36"/>
        <v>407.16904540330688</v>
      </c>
      <c r="L48" s="26">
        <f t="shared" si="36"/>
        <v>368.93317837256114</v>
      </c>
      <c r="M48" s="26">
        <f t="shared" si="36"/>
        <v>350.75454868202405</v>
      </c>
      <c r="N48" s="26">
        <f t="shared" si="36"/>
        <v>340.54921315243746</v>
      </c>
      <c r="O48" s="26">
        <f t="shared" si="36"/>
        <v>334.15746806884761</v>
      </c>
      <c r="P48" s="26">
        <f t="shared" si="36"/>
        <v>329.81983689503221</v>
      </c>
      <c r="Q48" s="26">
        <f t="shared" si="36"/>
        <v>326.68151377493541</v>
      </c>
      <c r="R48" s="26">
        <f t="shared" si="36"/>
        <v>374.20385786893848</v>
      </c>
      <c r="S48" s="26">
        <f t="shared" si="36"/>
        <v>400.03804017502551</v>
      </c>
      <c r="T48" s="26">
        <f t="shared" si="36"/>
        <v>412.92793818211044</v>
      </c>
      <c r="U48" s="25">
        <f t="shared" si="36"/>
        <v>412.92793818211044</v>
      </c>
      <c r="V48" s="159"/>
    </row>
    <row r="49" spans="1:24" x14ac:dyDescent="0.3">
      <c r="A49" s="24">
        <f t="shared" si="34"/>
        <v>4.1666666666666664E-2</v>
      </c>
      <c r="B49" s="465" t="s">
        <v>208</v>
      </c>
      <c r="C49" s="26">
        <f t="shared" si="36"/>
        <v>150</v>
      </c>
      <c r="D49" s="26">
        <f t="shared" si="36"/>
        <v>274.88728090253824</v>
      </c>
      <c r="E49" s="26">
        <f t="shared" si="36"/>
        <v>402.32947211600214</v>
      </c>
      <c r="F49" s="26">
        <f t="shared" si="36"/>
        <v>404.02311867647109</v>
      </c>
      <c r="G49" s="26">
        <f t="shared" si="36"/>
        <v>379.00711038244748</v>
      </c>
      <c r="H49" s="26">
        <f t="shared" si="36"/>
        <v>393.59303705431898</v>
      </c>
      <c r="I49" s="26">
        <f t="shared" si="36"/>
        <v>390.25846876934554</v>
      </c>
      <c r="J49" s="26">
        <f t="shared" si="36"/>
        <v>397.07776951338002</v>
      </c>
      <c r="K49" s="26">
        <f t="shared" si="36"/>
        <v>392.4717473861291</v>
      </c>
      <c r="L49" s="26">
        <f t="shared" si="36"/>
        <v>368.76649317654943</v>
      </c>
      <c r="M49" s="26">
        <f t="shared" si="36"/>
        <v>355.50503817705055</v>
      </c>
      <c r="N49" s="26">
        <f t="shared" si="36"/>
        <v>346.66757921333669</v>
      </c>
      <c r="O49" s="26">
        <f t="shared" si="36"/>
        <v>340.22653609955711</v>
      </c>
      <c r="P49" s="26">
        <f t="shared" si="36"/>
        <v>335.29121860633182</v>
      </c>
      <c r="Q49" s="26">
        <f t="shared" si="36"/>
        <v>331.38619053744668</v>
      </c>
      <c r="R49" s="26">
        <f t="shared" si="36"/>
        <v>384.9057051904955</v>
      </c>
      <c r="S49" s="26">
        <f t="shared" si="36"/>
        <v>408.03751615306601</v>
      </c>
      <c r="T49" s="26">
        <f t="shared" si="36"/>
        <v>415.91642510249096</v>
      </c>
      <c r="U49" s="25">
        <f t="shared" si="36"/>
        <v>415.91642510249096</v>
      </c>
      <c r="V49" s="159"/>
    </row>
    <row r="50" spans="1:24" x14ac:dyDescent="0.3">
      <c r="A50" s="24">
        <f t="shared" si="34"/>
        <v>4.1666666666666664E-2</v>
      </c>
      <c r="B50" s="481" t="s">
        <v>33</v>
      </c>
      <c r="C50" s="26">
        <f t="shared" si="36"/>
        <v>228.26978576152521</v>
      </c>
      <c r="D50" s="26">
        <f t="shared" si="36"/>
        <v>438.20270484156606</v>
      </c>
      <c r="E50" s="26">
        <f t="shared" si="36"/>
        <v>469.67814365955417</v>
      </c>
      <c r="F50" s="26">
        <f t="shared" si="36"/>
        <v>440.31349745665011</v>
      </c>
      <c r="G50" s="26">
        <f t="shared" si="36"/>
        <v>400.99551450520266</v>
      </c>
      <c r="H50" s="26">
        <f t="shared" si="36"/>
        <v>417.40827428159264</v>
      </c>
      <c r="I50" s="26">
        <f t="shared" si="36"/>
        <v>412.77505080885226</v>
      </c>
      <c r="J50" s="26">
        <f t="shared" si="36"/>
        <v>421.55873649871364</v>
      </c>
      <c r="K50" s="26">
        <f t="shared" si="36"/>
        <v>415.66119765859804</v>
      </c>
      <c r="L50" s="26">
        <f t="shared" si="36"/>
        <v>385.51487524288899</v>
      </c>
      <c r="M50" s="26">
        <f t="shared" si="36"/>
        <v>368.61870280370215</v>
      </c>
      <c r="N50" s="26">
        <f t="shared" si="36"/>
        <v>357.43679121503641</v>
      </c>
      <c r="O50" s="26">
        <f t="shared" si="36"/>
        <v>349.35487463084337</v>
      </c>
      <c r="P50" s="26">
        <f t="shared" si="36"/>
        <v>343.20622252543512</v>
      </c>
      <c r="Q50" s="26">
        <f t="shared" si="36"/>
        <v>338.36782086448443</v>
      </c>
      <c r="R50" s="26">
        <f t="shared" si="36"/>
        <v>403.61146909861679</v>
      </c>
      <c r="S50" s="26">
        <f t="shared" si="36"/>
        <v>431.63226596116374</v>
      </c>
      <c r="T50" s="26">
        <f t="shared" si="36"/>
        <v>441.0968288219002</v>
      </c>
      <c r="U50" s="25">
        <f t="shared" si="36"/>
        <v>441.0968288219002</v>
      </c>
      <c r="V50" s="159"/>
    </row>
    <row r="51" spans="1:24" x14ac:dyDescent="0.3">
      <c r="A51" s="24">
        <f t="shared" si="34"/>
        <v>4.1666666666666664E-2</v>
      </c>
      <c r="B51" s="482" t="s">
        <v>52</v>
      </c>
      <c r="C51" s="23">
        <f t="shared" si="36"/>
        <v>735.25721518215789</v>
      </c>
      <c r="D51" s="23">
        <f t="shared" si="36"/>
        <v>1050.2769404186793</v>
      </c>
      <c r="E51" s="23">
        <f t="shared" si="36"/>
        <v>694.02843212719529</v>
      </c>
      <c r="F51" s="23">
        <f t="shared" si="36"/>
        <v>539.02222621046883</v>
      </c>
      <c r="G51" s="23">
        <f t="shared" si="36"/>
        <v>447.66998807512334</v>
      </c>
      <c r="H51" s="23">
        <f t="shared" si="36"/>
        <v>452.401396152659</v>
      </c>
      <c r="I51" s="23">
        <f t="shared" si="36"/>
        <v>428.49829845713396</v>
      </c>
      <c r="J51" s="23">
        <f t="shared" si="36"/>
        <v>417.54009454745051</v>
      </c>
      <c r="K51" s="23">
        <f t="shared" si="36"/>
        <v>391.95436685528091</v>
      </c>
      <c r="L51" s="23">
        <f t="shared" si="36"/>
        <v>357.77036841493504</v>
      </c>
      <c r="M51" s="23">
        <f t="shared" si="36"/>
        <v>341.93293077267253</v>
      </c>
      <c r="N51" s="23">
        <f t="shared" si="36"/>
        <v>333.26776571695586</v>
      </c>
      <c r="O51" s="23">
        <f t="shared" si="36"/>
        <v>327.97075791414505</v>
      </c>
      <c r="P51" s="23">
        <f t="shared" si="36"/>
        <v>324.45197792044178</v>
      </c>
      <c r="Q51" s="23">
        <f t="shared" si="36"/>
        <v>321.94868227753494</v>
      </c>
      <c r="R51" s="23">
        <f t="shared" si="36"/>
        <v>361.55498447483177</v>
      </c>
      <c r="S51" s="23">
        <f t="shared" si="36"/>
        <v>384.17488236999293</v>
      </c>
      <c r="T51" s="23">
        <f t="shared" si="36"/>
        <v>396.0911942538313</v>
      </c>
      <c r="U51" s="22">
        <f t="shared" si="36"/>
        <v>396.0911942538313</v>
      </c>
      <c r="V51" s="159"/>
    </row>
    <row r="52" spans="1:24" ht="19.8" x14ac:dyDescent="0.3">
      <c r="B52" s="560"/>
      <c r="C52" s="21">
        <f t="shared" ref="C52:I52" si="37">$E$53</f>
        <v>300</v>
      </c>
      <c r="D52" s="21">
        <f t="shared" si="37"/>
        <v>300</v>
      </c>
      <c r="E52" s="21">
        <f t="shared" si="37"/>
        <v>300</v>
      </c>
      <c r="F52" s="21">
        <f t="shared" si="37"/>
        <v>300</v>
      </c>
      <c r="G52" s="21">
        <f t="shared" si="37"/>
        <v>300</v>
      </c>
      <c r="H52" s="21">
        <f t="shared" si="37"/>
        <v>300</v>
      </c>
      <c r="I52" s="21">
        <f t="shared" si="37"/>
        <v>300</v>
      </c>
    </row>
    <row r="53" spans="1:24" x14ac:dyDescent="0.3">
      <c r="B53" s="512" t="s">
        <v>264</v>
      </c>
      <c r="C53" s="598" t="s">
        <v>206</v>
      </c>
      <c r="D53" s="599"/>
      <c r="E53" s="598">
        <v>300</v>
      </c>
      <c r="F53" s="599"/>
      <c r="G53" s="600"/>
      <c r="H53" s="601"/>
      <c r="I53" s="601"/>
      <c r="J53" s="601"/>
    </row>
    <row r="54" spans="1:24" ht="21.6" x14ac:dyDescent="0.3">
      <c r="B54" s="463" t="s">
        <v>229</v>
      </c>
      <c r="C54" s="247" t="s">
        <v>0</v>
      </c>
      <c r="D54" s="247" t="s">
        <v>51</v>
      </c>
      <c r="E54" s="248" t="s">
        <v>3</v>
      </c>
      <c r="F54" s="247" t="s">
        <v>4</v>
      </c>
      <c r="G54" s="248" t="s">
        <v>5</v>
      </c>
      <c r="H54" s="248" t="s">
        <v>6</v>
      </c>
      <c r="I54" s="247" t="s">
        <v>19</v>
      </c>
      <c r="J54" s="248" t="s">
        <v>20</v>
      </c>
      <c r="K54" s="247" t="s">
        <v>21</v>
      </c>
      <c r="L54" s="247" t="s">
        <v>22</v>
      </c>
      <c r="M54" s="247" t="s">
        <v>23</v>
      </c>
      <c r="N54" s="247" t="s">
        <v>24</v>
      </c>
      <c r="O54" s="247" t="s">
        <v>25</v>
      </c>
      <c r="P54" s="247" t="s">
        <v>26</v>
      </c>
      <c r="Q54" s="247" t="s">
        <v>27</v>
      </c>
      <c r="R54" s="248" t="s">
        <v>28</v>
      </c>
      <c r="S54" s="247" t="s">
        <v>29</v>
      </c>
      <c r="T54" s="247" t="s">
        <v>30</v>
      </c>
      <c r="U54" s="249" t="s">
        <v>31</v>
      </c>
      <c r="V54" s="519" t="s">
        <v>260</v>
      </c>
      <c r="W54" s="604"/>
    </row>
    <row r="55" spans="1:24" s="6" customFormat="1" ht="12.6" customHeight="1" x14ac:dyDescent="0.25">
      <c r="A55" s="1"/>
      <c r="B55" s="463" t="s">
        <v>219</v>
      </c>
      <c r="C55" s="484"/>
      <c r="D55" s="485">
        <v>8.33</v>
      </c>
      <c r="E55" s="485">
        <v>16.670000000000002</v>
      </c>
      <c r="F55" s="485">
        <f>C7-E55-D55</f>
        <v>475</v>
      </c>
      <c r="G55" s="485"/>
      <c r="H55" s="485"/>
      <c r="I55" s="485"/>
      <c r="J55" s="485"/>
      <c r="K55" s="485"/>
      <c r="L55" s="485"/>
      <c r="M55" s="485"/>
      <c r="N55" s="486"/>
      <c r="O55" s="486"/>
      <c r="P55" s="486"/>
      <c r="Q55" s="486"/>
      <c r="R55" s="486"/>
      <c r="S55" s="486"/>
      <c r="T55" s="486"/>
      <c r="U55" s="486"/>
      <c r="V55" s="520">
        <f>SUMPRODUCT(D55:M55,D27:M27)</f>
        <v>492.83748598738816</v>
      </c>
      <c r="W55" s="604"/>
    </row>
    <row r="56" spans="1:24" s="6" customFormat="1" ht="10.8" x14ac:dyDescent="0.25">
      <c r="A56" s="605"/>
      <c r="B56" s="463" t="s">
        <v>247</v>
      </c>
      <c r="C56" s="63"/>
      <c r="D56" s="150">
        <f t="shared" ref="D56:D57" si="38">IF(SUM($C56:$C56)&gt;=SUM($D$55:$M$55),0,IF(D45&gt;$E$53,D$55,IF(D45&lt;$E$53,(SUM($D$55:$M$55)-SUM($C56:$C56)))))</f>
        <v>8.33</v>
      </c>
      <c r="E56" s="150">
        <f t="shared" ref="E56:E57" si="39">IF(SUM($C56:$D56)&gt;=SUM($D$55:$M$55),0,IF(E45&gt;$E$53,E$55,IF(E45&lt;$E$53,(SUM($D$55:$M$55)-SUM($C56:$D56)))))</f>
        <v>16.670000000000002</v>
      </c>
      <c r="F56" s="151">
        <f t="shared" ref="F56:F57" si="40">IF(SUM($C56:$E56)&gt;=SUM($D$55:$M$55),0,IF(F45&gt;$E$53,F$55,IF(F45&lt;$E$53,(SUM($D$55:$M$55)-SUM($C56:$E56)))))</f>
        <v>475</v>
      </c>
      <c r="G56" s="64">
        <f t="shared" ref="G56:G62" si="41">IF(SUM($C56:$F56)&gt;=SUM($D$55:$M$55),0,IF(G45&gt;$E$53,G$55,IF(G45&lt;$E$53,(SUM($D$55:$M$55)-SUM($C56:$F56)))))</f>
        <v>0</v>
      </c>
      <c r="H56" s="64">
        <f t="shared" ref="H56:H62" si="42">IF(SUM($C56:$G56)&gt;=SUM($D$55:$M$55),0,IF(H45&gt;$E$53,H$55,IF(H45&lt;$E$53,(SUM($D$55:$M$55)-SUM($C56:$G56)))))</f>
        <v>0</v>
      </c>
      <c r="I56" s="64">
        <f t="shared" ref="I56:I62" si="43">IF(SUM($C56:$H56)&gt;=SUM($D$55:$M$55),0,IF(I45&gt;$E$53,I$55,IF(I45&lt;$E$53,(SUM($D$55:$M$55)-SUM($C56:$H56)))))</f>
        <v>0</v>
      </c>
      <c r="J56" s="64">
        <f t="shared" ref="J56:J62" si="44">IF(SUM($C56:$I56)&gt;=SUM($D$55:$M$55),0,IF(J45&gt;$E$53,J$55,IF(J45&lt;$E$53,(SUM($D$55:$M$55)-SUM($C56:$I56)))))</f>
        <v>0</v>
      </c>
      <c r="K56" s="64">
        <f t="shared" ref="K56:K62" si="45">IF(SUM($C56:$J56)&gt;=SUM($D$55:$M$55),0,IF(K45&gt;$E$53,K$55,IF(K45&lt;$E$53,(SUM($D$55:$M$55)-SUM($C56:$J56)))))</f>
        <v>0</v>
      </c>
      <c r="L56" s="64">
        <f t="shared" ref="L56:L62" si="46">IF(SUM($C56:$K56)&gt;=SUM($D$55:$M$55),0,IF(L45&gt;$E$53,L$55,IF(L45&lt;$E$53,(SUM($D$55:$M$55)-SUM($C56:$K56)))))</f>
        <v>0</v>
      </c>
      <c r="M56" s="64">
        <f t="shared" ref="M56:M62" si="47">IF(SUM($C56:$L56)&gt;=SUM($D$55:$M$55),0,IF(M45&gt;$E$53,M$55,IF(M45&lt;$E$53,(SUM($D$55:$M$55)-SUM($C56:$L56)))))</f>
        <v>0</v>
      </c>
      <c r="V56" s="522">
        <f>SUMPRODUCT(D56:M56,D27:M27)</f>
        <v>492.83748598738816</v>
      </c>
    </row>
    <row r="57" spans="1:24" s="6" customFormat="1" ht="14.7" customHeight="1" x14ac:dyDescent="0.25">
      <c r="A57" s="605"/>
      <c r="B57" s="480" t="s">
        <v>220</v>
      </c>
      <c r="C57" s="20"/>
      <c r="D57" s="152">
        <f t="shared" si="38"/>
        <v>8.33</v>
      </c>
      <c r="E57" s="152">
        <f t="shared" si="39"/>
        <v>16.670000000000002</v>
      </c>
      <c r="F57" s="153">
        <f t="shared" si="40"/>
        <v>475</v>
      </c>
      <c r="G57" s="19">
        <f t="shared" si="41"/>
        <v>0</v>
      </c>
      <c r="H57" s="19">
        <f t="shared" si="42"/>
        <v>0</v>
      </c>
      <c r="I57" s="19">
        <f t="shared" si="43"/>
        <v>0</v>
      </c>
      <c r="J57" s="19">
        <f t="shared" si="44"/>
        <v>0</v>
      </c>
      <c r="K57" s="19">
        <f t="shared" si="45"/>
        <v>0</v>
      </c>
      <c r="L57" s="19">
        <f t="shared" si="46"/>
        <v>0</v>
      </c>
      <c r="M57" s="18">
        <f t="shared" si="47"/>
        <v>0</v>
      </c>
      <c r="V57" s="55">
        <f t="shared" ref="V57:V62" si="48">SUMPRODUCT(D57:M57,D28:M28)</f>
        <v>488.39353618658288</v>
      </c>
    </row>
    <row r="58" spans="1:24" s="6" customFormat="1" ht="14.7" customHeight="1" x14ac:dyDescent="0.25">
      <c r="A58" s="605"/>
      <c r="B58" s="480" t="s">
        <v>221</v>
      </c>
      <c r="C58" s="20"/>
      <c r="D58" s="152">
        <f>D55</f>
        <v>8.33</v>
      </c>
      <c r="E58" s="152">
        <f t="shared" ref="E58:F58" si="49">E55</f>
        <v>16.670000000000002</v>
      </c>
      <c r="F58" s="153">
        <f t="shared" si="49"/>
        <v>475</v>
      </c>
      <c r="G58" s="19">
        <f t="shared" si="41"/>
        <v>0</v>
      </c>
      <c r="H58" s="19">
        <f t="shared" si="42"/>
        <v>0</v>
      </c>
      <c r="I58" s="19">
        <f t="shared" si="43"/>
        <v>0</v>
      </c>
      <c r="J58" s="19">
        <f t="shared" si="44"/>
        <v>0</v>
      </c>
      <c r="K58" s="19">
        <f t="shared" si="45"/>
        <v>0</v>
      </c>
      <c r="L58" s="19">
        <f t="shared" si="46"/>
        <v>0</v>
      </c>
      <c r="M58" s="18">
        <f t="shared" si="47"/>
        <v>0</v>
      </c>
      <c r="V58" s="55">
        <f t="shared" si="48"/>
        <v>497.3228593156195</v>
      </c>
    </row>
    <row r="59" spans="1:24" s="6" customFormat="1" ht="14.7" customHeight="1" x14ac:dyDescent="0.25">
      <c r="A59" s="605"/>
      <c r="B59" s="465" t="s">
        <v>215</v>
      </c>
      <c r="C59" s="20"/>
      <c r="D59" s="152">
        <f>D55</f>
        <v>8.33</v>
      </c>
      <c r="E59" s="152">
        <f t="shared" ref="E59:F59" si="50">E55</f>
        <v>16.670000000000002</v>
      </c>
      <c r="F59" s="153">
        <f t="shared" si="50"/>
        <v>475</v>
      </c>
      <c r="G59" s="19">
        <f t="shared" si="41"/>
        <v>0</v>
      </c>
      <c r="H59" s="19">
        <f t="shared" si="42"/>
        <v>0</v>
      </c>
      <c r="I59" s="19">
        <f t="shared" si="43"/>
        <v>0</v>
      </c>
      <c r="J59" s="19">
        <f t="shared" si="44"/>
        <v>0</v>
      </c>
      <c r="K59" s="19">
        <f t="shared" si="45"/>
        <v>0</v>
      </c>
      <c r="L59" s="19">
        <f t="shared" si="46"/>
        <v>0</v>
      </c>
      <c r="M59" s="18">
        <f t="shared" si="47"/>
        <v>0</v>
      </c>
      <c r="V59" s="55">
        <f t="shared" si="48"/>
        <v>487.17427476933796</v>
      </c>
    </row>
    <row r="60" spans="1:24" s="6" customFormat="1" ht="14.7" customHeight="1" x14ac:dyDescent="0.25">
      <c r="A60" s="605"/>
      <c r="B60" s="465" t="s">
        <v>216</v>
      </c>
      <c r="C60" s="20"/>
      <c r="D60" s="152">
        <f>D55</f>
        <v>8.33</v>
      </c>
      <c r="E60" s="152">
        <f t="shared" ref="E60:F60" si="51">E55</f>
        <v>16.670000000000002</v>
      </c>
      <c r="F60" s="153">
        <f t="shared" si="51"/>
        <v>475</v>
      </c>
      <c r="G60" s="19">
        <f t="shared" si="41"/>
        <v>0</v>
      </c>
      <c r="H60" s="19">
        <f t="shared" si="42"/>
        <v>0</v>
      </c>
      <c r="I60" s="19">
        <f t="shared" si="43"/>
        <v>0</v>
      </c>
      <c r="J60" s="19">
        <f t="shared" si="44"/>
        <v>0</v>
      </c>
      <c r="K60" s="19">
        <f t="shared" si="45"/>
        <v>0</v>
      </c>
      <c r="L60" s="19">
        <f t="shared" si="46"/>
        <v>0</v>
      </c>
      <c r="M60" s="18">
        <f t="shared" si="47"/>
        <v>0</v>
      </c>
      <c r="V60" s="55">
        <f t="shared" si="48"/>
        <v>498.56781961947223</v>
      </c>
    </row>
    <row r="61" spans="1:24" s="6" customFormat="1" ht="14.7" customHeight="1" x14ac:dyDescent="0.25">
      <c r="A61" s="605"/>
      <c r="B61" s="481" t="s">
        <v>244</v>
      </c>
      <c r="C61" s="20"/>
      <c r="D61" s="152">
        <f>D55</f>
        <v>8.33</v>
      </c>
      <c r="E61" s="152">
        <f t="shared" ref="E61:F61" si="52">E55</f>
        <v>16.670000000000002</v>
      </c>
      <c r="F61" s="153">
        <f t="shared" si="52"/>
        <v>475</v>
      </c>
      <c r="G61" s="19">
        <f t="shared" si="41"/>
        <v>0</v>
      </c>
      <c r="H61" s="19">
        <f t="shared" si="42"/>
        <v>0</v>
      </c>
      <c r="I61" s="19">
        <f t="shared" si="43"/>
        <v>0</v>
      </c>
      <c r="J61" s="19">
        <f t="shared" si="44"/>
        <v>0</v>
      </c>
      <c r="K61" s="19">
        <f t="shared" si="45"/>
        <v>0</v>
      </c>
      <c r="L61" s="19">
        <f t="shared" si="46"/>
        <v>0</v>
      </c>
      <c r="M61" s="18">
        <f t="shared" si="47"/>
        <v>0</v>
      </c>
      <c r="V61" s="55">
        <f t="shared" si="48"/>
        <v>496.33947539689723</v>
      </c>
    </row>
    <row r="62" spans="1:24" s="6" customFormat="1" ht="14.7" customHeight="1" x14ac:dyDescent="0.25">
      <c r="A62" s="9"/>
      <c r="B62" s="482" t="s">
        <v>218</v>
      </c>
      <c r="C62" s="17"/>
      <c r="D62" s="154">
        <f>D55</f>
        <v>8.33</v>
      </c>
      <c r="E62" s="154">
        <f t="shared" ref="E62:F62" si="53">E55</f>
        <v>16.670000000000002</v>
      </c>
      <c r="F62" s="155">
        <f t="shared" si="53"/>
        <v>475</v>
      </c>
      <c r="G62" s="16">
        <f t="shared" si="41"/>
        <v>0</v>
      </c>
      <c r="H62" s="16">
        <f t="shared" si="42"/>
        <v>0</v>
      </c>
      <c r="I62" s="16">
        <f t="shared" si="43"/>
        <v>0</v>
      </c>
      <c r="J62" s="16">
        <f t="shared" si="44"/>
        <v>0</v>
      </c>
      <c r="K62" s="16">
        <f t="shared" si="45"/>
        <v>0</v>
      </c>
      <c r="L62" s="16">
        <f t="shared" si="46"/>
        <v>0</v>
      </c>
      <c r="M62" s="15">
        <f t="shared" si="47"/>
        <v>0</v>
      </c>
      <c r="V62" s="158">
        <f t="shared" si="48"/>
        <v>488.44261223419369</v>
      </c>
    </row>
    <row r="63" spans="1:24" s="6" customFormat="1" ht="10.8" x14ac:dyDescent="0.25">
      <c r="A63" s="1"/>
      <c r="B63" s="463" t="s">
        <v>248</v>
      </c>
      <c r="C63" s="487"/>
      <c r="D63" s="488">
        <v>1.25</v>
      </c>
      <c r="E63" s="488">
        <v>2.44</v>
      </c>
      <c r="F63" s="488">
        <v>3.5</v>
      </c>
      <c r="G63" s="488">
        <v>3.31</v>
      </c>
      <c r="H63" s="488">
        <v>3.13</v>
      </c>
      <c r="I63" s="488">
        <v>5.69</v>
      </c>
      <c r="J63" s="488">
        <v>4.9400000000000004</v>
      </c>
      <c r="K63" s="488">
        <v>7.63</v>
      </c>
      <c r="L63" s="488">
        <v>4.63</v>
      </c>
      <c r="M63" s="488">
        <v>1.63</v>
      </c>
      <c r="N63" s="489"/>
      <c r="O63" s="489"/>
      <c r="P63" s="489"/>
      <c r="Q63" s="489"/>
      <c r="R63" s="489"/>
      <c r="S63" s="489"/>
      <c r="T63" s="489"/>
      <c r="U63" s="489"/>
      <c r="V63" s="521">
        <f>SUMPRODUCT(D63:M63,D27:M27)</f>
        <v>34.570510772672876</v>
      </c>
    </row>
    <row r="64" spans="1:24" s="6" customFormat="1" ht="10.8" x14ac:dyDescent="0.25">
      <c r="A64" s="1"/>
      <c r="B64" s="463" t="s">
        <v>249</v>
      </c>
      <c r="C64" s="63"/>
      <c r="D64" s="65">
        <f>SUM($D$55:$F$55)*MAX(D45)/10000*1/12</f>
        <v>2.0393285217143196</v>
      </c>
      <c r="E64" s="65">
        <f>SUM($E$55:$F$55)*MAX(E45)/10000*2/12</f>
        <v>4.7833451801978768</v>
      </c>
      <c r="F64" s="65">
        <f>SUM($F$55)*MAX(F45)/10000*3/12</f>
        <v>8.3161878109339487</v>
      </c>
      <c r="G64" s="65">
        <f>IF(G56&gt;0, G$62, 0)+G63</f>
        <v>3.31</v>
      </c>
      <c r="H64" s="65">
        <f t="shared" ref="H64:M64" si="54">IF(H56&gt;0, H$63, 0)+H63</f>
        <v>3.13</v>
      </c>
      <c r="I64" s="65">
        <f t="shared" si="54"/>
        <v>5.69</v>
      </c>
      <c r="J64" s="65">
        <f t="shared" si="54"/>
        <v>4.9400000000000004</v>
      </c>
      <c r="K64" s="65">
        <f t="shared" si="54"/>
        <v>7.63</v>
      </c>
      <c r="L64" s="65">
        <f t="shared" si="54"/>
        <v>4.63</v>
      </c>
      <c r="M64" s="65">
        <f t="shared" si="54"/>
        <v>1.63</v>
      </c>
      <c r="N64" s="13"/>
      <c r="O64" s="13"/>
      <c r="V64" s="522">
        <f t="shared" ref="V64:V70" si="55">SUMPRODUCT(D64:M64,D27:M27)</f>
        <v>42.43593285488933</v>
      </c>
      <c r="X64" s="56"/>
    </row>
    <row r="65" spans="1:22" s="6" customFormat="1" ht="14.7" customHeight="1" x14ac:dyDescent="0.25">
      <c r="A65" s="605"/>
      <c r="B65" s="480" t="s">
        <v>209</v>
      </c>
      <c r="C65" s="8"/>
      <c r="D65" s="66">
        <f>SUM($D$55:$F$55)*MAX(D46)/10000*1/12</f>
        <v>4.3157325976828007</v>
      </c>
      <c r="E65" s="66">
        <f t="shared" ref="E65:E70" si="56">SUM($E$55:$F$55)*MAX(E46)/10000*2/12</f>
        <v>5.7651395673401664</v>
      </c>
      <c r="F65" s="66">
        <f t="shared" ref="F65:F70" si="57">SUM($F$55)*MAX(F46)/10000*3/12</f>
        <v>6.5870271229288457</v>
      </c>
      <c r="G65" s="162">
        <f t="shared" ref="G65:G70" si="58">$G$63</f>
        <v>3.31</v>
      </c>
      <c r="H65" s="162">
        <f t="shared" ref="H65:H70" si="59">$H$63</f>
        <v>3.13</v>
      </c>
      <c r="I65" s="162">
        <f t="shared" ref="I65:I70" si="60">$I$63</f>
        <v>5.69</v>
      </c>
      <c r="J65" s="162">
        <f t="shared" ref="J65:J70" si="61">$J$63</f>
        <v>4.9400000000000004</v>
      </c>
      <c r="K65" s="162">
        <f t="shared" ref="K65:K70" si="62">$K$63</f>
        <v>7.63</v>
      </c>
      <c r="L65" s="162">
        <f t="shared" ref="L65:L70" si="63">$L$63</f>
        <v>4.63</v>
      </c>
      <c r="M65" s="163">
        <f t="shared" ref="M65:M70" si="64">$M$63</f>
        <v>1.63</v>
      </c>
      <c r="N65" s="605"/>
      <c r="V65" s="55">
        <f t="shared" si="55"/>
        <v>42.585796617334147</v>
      </c>
    </row>
    <row r="66" spans="1:22" s="6" customFormat="1" ht="14.7" customHeight="1" x14ac:dyDescent="0.25">
      <c r="A66" s="605"/>
      <c r="B66" s="480" t="s">
        <v>210</v>
      </c>
      <c r="C66" s="8"/>
      <c r="D66" s="66">
        <f>SUM($D$55:$F$55)*MAX(D47)/10000*1/12</f>
        <v>1.6035618224077632</v>
      </c>
      <c r="E66" s="66">
        <f>SUM($E$55:$F$55)*MAX(E47)/10000*2/12</f>
        <v>3.5416738106320795</v>
      </c>
      <c r="F66" s="66">
        <f t="shared" si="57"/>
        <v>4.8679447987284741</v>
      </c>
      <c r="G66" s="162">
        <f>$G$63</f>
        <v>3.31</v>
      </c>
      <c r="H66" s="162">
        <f t="shared" si="59"/>
        <v>3.13</v>
      </c>
      <c r="I66" s="162">
        <f t="shared" si="60"/>
        <v>5.69</v>
      </c>
      <c r="J66" s="162">
        <f t="shared" si="61"/>
        <v>4.9400000000000004</v>
      </c>
      <c r="K66" s="162">
        <f t="shared" si="62"/>
        <v>7.63</v>
      </c>
      <c r="L66" s="162">
        <f t="shared" si="63"/>
        <v>4.63</v>
      </c>
      <c r="M66" s="163">
        <f t="shared" si="64"/>
        <v>1.63</v>
      </c>
      <c r="N66" s="605"/>
      <c r="V66" s="55">
        <f t="shared" si="55"/>
        <v>38.824924115309031</v>
      </c>
    </row>
    <row r="67" spans="1:22" s="6" customFormat="1" ht="14.7" customHeight="1" x14ac:dyDescent="0.25">
      <c r="A67" s="605"/>
      <c r="B67" s="465" t="s">
        <v>211</v>
      </c>
      <c r="C67" s="8"/>
      <c r="D67" s="66">
        <f>SUM($D$55:$F$55)*MAX(D48)/10000*1/12</f>
        <v>4.7613880391544461</v>
      </c>
      <c r="E67" s="66">
        <f t="shared" si="56"/>
        <v>6.0099245187176598</v>
      </c>
      <c r="F67" s="66">
        <f t="shared" si="57"/>
        <v>6.6571973873742216</v>
      </c>
      <c r="G67" s="162">
        <f t="shared" si="58"/>
        <v>3.31</v>
      </c>
      <c r="H67" s="162">
        <f t="shared" si="59"/>
        <v>3.13</v>
      </c>
      <c r="I67" s="162">
        <f t="shared" si="60"/>
        <v>5.69</v>
      </c>
      <c r="J67" s="162">
        <f t="shared" si="61"/>
        <v>4.9400000000000004</v>
      </c>
      <c r="K67" s="162">
        <f t="shared" si="62"/>
        <v>7.63</v>
      </c>
      <c r="L67" s="162">
        <f t="shared" si="63"/>
        <v>4.63</v>
      </c>
      <c r="M67" s="163">
        <f t="shared" si="64"/>
        <v>1.63</v>
      </c>
      <c r="N67" s="605"/>
      <c r="V67" s="55">
        <f t="shared" si="55"/>
        <v>43.605856724549703</v>
      </c>
    </row>
    <row r="68" spans="1:22" s="6" customFormat="1" ht="14.7" customHeight="1" x14ac:dyDescent="0.25">
      <c r="A68" s="605"/>
      <c r="B68" s="465" t="s">
        <v>212</v>
      </c>
      <c r="C68" s="8"/>
      <c r="D68" s="66">
        <f t="shared" ref="D68:D70" si="65">SUM($D$55:$F$55)*MAX(D49)/10000*1/12</f>
        <v>1.1453636704272425</v>
      </c>
      <c r="E68" s="66">
        <f t="shared" si="56"/>
        <v>3.2968888592545795</v>
      </c>
      <c r="F68" s="66">
        <f t="shared" si="57"/>
        <v>4.7977745342830938</v>
      </c>
      <c r="G68" s="162">
        <f t="shared" si="58"/>
        <v>3.31</v>
      </c>
      <c r="H68" s="162">
        <f t="shared" si="59"/>
        <v>3.13</v>
      </c>
      <c r="I68" s="162">
        <f t="shared" si="60"/>
        <v>5.69</v>
      </c>
      <c r="J68" s="162">
        <f t="shared" si="61"/>
        <v>4.9400000000000004</v>
      </c>
      <c r="K68" s="162">
        <f t="shared" si="62"/>
        <v>7.63</v>
      </c>
      <c r="L68" s="162">
        <f t="shared" si="63"/>
        <v>4.63</v>
      </c>
      <c r="M68" s="163">
        <f t="shared" si="64"/>
        <v>1.63</v>
      </c>
      <c r="N68" s="605"/>
      <c r="V68" s="55">
        <f t="shared" si="55"/>
        <v>37.735113427980828</v>
      </c>
    </row>
    <row r="69" spans="1:22" s="6" customFormat="1" ht="14.7" customHeight="1" x14ac:dyDescent="0.25">
      <c r="A69" s="605"/>
      <c r="B69" s="481" t="s">
        <v>213</v>
      </c>
      <c r="C69" s="8"/>
      <c r="D69" s="66">
        <f t="shared" si="65"/>
        <v>1.825844603506525</v>
      </c>
      <c r="E69" s="66">
        <f t="shared" si="56"/>
        <v>3.8487775482182172</v>
      </c>
      <c r="F69" s="66">
        <f t="shared" si="57"/>
        <v>5.2287227822977203</v>
      </c>
      <c r="G69" s="162">
        <f t="shared" si="58"/>
        <v>3.31</v>
      </c>
      <c r="H69" s="162">
        <f t="shared" si="59"/>
        <v>3.13</v>
      </c>
      <c r="I69" s="162">
        <f t="shared" si="60"/>
        <v>5.69</v>
      </c>
      <c r="J69" s="162">
        <f t="shared" si="61"/>
        <v>4.9400000000000004</v>
      </c>
      <c r="K69" s="162">
        <f t="shared" si="62"/>
        <v>7.63</v>
      </c>
      <c r="L69" s="162">
        <f t="shared" si="63"/>
        <v>4.63</v>
      </c>
      <c r="M69" s="163">
        <f t="shared" si="64"/>
        <v>1.63</v>
      </c>
      <c r="N69" s="605"/>
      <c r="V69" s="55">
        <f t="shared" si="55"/>
        <v>38.653472991929853</v>
      </c>
    </row>
    <row r="70" spans="1:22" s="6" customFormat="1" ht="14.7" customHeight="1" x14ac:dyDescent="0.25">
      <c r="A70" s="605"/>
      <c r="B70" s="482" t="s">
        <v>214</v>
      </c>
      <c r="C70" s="8"/>
      <c r="D70" s="66">
        <f t="shared" si="65"/>
        <v>4.3761539184111635</v>
      </c>
      <c r="E70" s="66">
        <f t="shared" si="56"/>
        <v>5.6872159870663017</v>
      </c>
      <c r="F70" s="66">
        <f t="shared" si="57"/>
        <v>6.4008889362493173</v>
      </c>
      <c r="G70" s="162">
        <f t="shared" si="58"/>
        <v>3.31</v>
      </c>
      <c r="H70" s="162">
        <f t="shared" si="59"/>
        <v>3.13</v>
      </c>
      <c r="I70" s="162">
        <f t="shared" si="60"/>
        <v>5.69</v>
      </c>
      <c r="J70" s="162">
        <f t="shared" si="61"/>
        <v>4.9400000000000004</v>
      </c>
      <c r="K70" s="162">
        <f t="shared" si="62"/>
        <v>7.63</v>
      </c>
      <c r="L70" s="162">
        <f t="shared" si="63"/>
        <v>4.63</v>
      </c>
      <c r="M70" s="163">
        <f t="shared" si="64"/>
        <v>1.63</v>
      </c>
      <c r="N70" s="605"/>
      <c r="V70" s="55">
        <f t="shared" si="55"/>
        <v>43.090498736773704</v>
      </c>
    </row>
    <row r="71" spans="1:22" s="6" customFormat="1" ht="10.8" x14ac:dyDescent="0.25">
      <c r="A71" s="1"/>
      <c r="B71" s="486" t="s">
        <v>265</v>
      </c>
      <c r="C71" s="513"/>
      <c r="D71" s="514">
        <f>SUM(D55:F55)*MAX($E$53,D45)/10000*1/12</f>
        <v>2.0393285217143196</v>
      </c>
      <c r="E71" s="515">
        <f>SUM(E55:G55)*MAX($E$53,E45)/10000*2/12</f>
        <v>4.7833451801978768</v>
      </c>
      <c r="F71" s="515">
        <f>SUM(F55:H55)*MAX($E$53,F45)/10000*3/12</f>
        <v>8.3161878109339487</v>
      </c>
      <c r="G71" s="516">
        <f>G64</f>
        <v>3.31</v>
      </c>
      <c r="H71" s="516">
        <f t="shared" ref="H71:M71" si="66">H64</f>
        <v>3.13</v>
      </c>
      <c r="I71" s="516">
        <f t="shared" si="66"/>
        <v>5.69</v>
      </c>
      <c r="J71" s="516">
        <f t="shared" si="66"/>
        <v>4.9400000000000004</v>
      </c>
      <c r="K71" s="516">
        <f t="shared" si="66"/>
        <v>7.63</v>
      </c>
      <c r="L71" s="516">
        <f t="shared" si="66"/>
        <v>4.63</v>
      </c>
      <c r="M71" s="516">
        <f t="shared" si="66"/>
        <v>1.63</v>
      </c>
      <c r="N71" s="517"/>
      <c r="O71" s="486"/>
      <c r="P71" s="486"/>
      <c r="Q71" s="486"/>
      <c r="R71" s="486"/>
      <c r="S71" s="486"/>
      <c r="T71" s="486"/>
      <c r="U71" s="486"/>
      <c r="V71" s="522">
        <f t="shared" ref="V71:V77" si="67">SUMPRODUCT(D71:M71,D27:M27)</f>
        <v>42.43593285488933</v>
      </c>
    </row>
    <row r="72" spans="1:22" s="6" customFormat="1" ht="14.7" customHeight="1" x14ac:dyDescent="0.25">
      <c r="A72" s="605"/>
      <c r="B72" s="480" t="s">
        <v>209</v>
      </c>
      <c r="C72" s="164"/>
      <c r="D72" s="157">
        <f t="shared" ref="D72:D77" si="68">SUM(D55:F55)*MAX(D46,$E$53)/10000*1/12</f>
        <v>4.3157325976828007</v>
      </c>
      <c r="E72" s="157">
        <f>SUM(E55:F55)*MAX(E46,$E$53)/10000*2/12</f>
        <v>5.7651395673401664</v>
      </c>
      <c r="F72" s="157">
        <f>SUM($F$55)*MAX(F46,$E$53)/10000*3/12</f>
        <v>6.5870271229288457</v>
      </c>
      <c r="G72" s="162">
        <f t="shared" ref="G72:M72" si="69">G65</f>
        <v>3.31</v>
      </c>
      <c r="H72" s="162">
        <f t="shared" si="69"/>
        <v>3.13</v>
      </c>
      <c r="I72" s="162">
        <f t="shared" si="69"/>
        <v>5.69</v>
      </c>
      <c r="J72" s="162">
        <f t="shared" si="69"/>
        <v>4.9400000000000004</v>
      </c>
      <c r="K72" s="162">
        <f t="shared" si="69"/>
        <v>7.63</v>
      </c>
      <c r="L72" s="162">
        <f t="shared" si="69"/>
        <v>4.63</v>
      </c>
      <c r="M72" s="165">
        <f t="shared" si="69"/>
        <v>1.63</v>
      </c>
      <c r="N72" s="605"/>
      <c r="U72" s="60"/>
      <c r="V72" s="55">
        <f t="shared" si="67"/>
        <v>42.585796617334147</v>
      </c>
    </row>
    <row r="73" spans="1:22" s="6" customFormat="1" ht="14.7" customHeight="1" x14ac:dyDescent="0.25">
      <c r="A73" s="605"/>
      <c r="B73" s="480" t="s">
        <v>210</v>
      </c>
      <c r="C73" s="164"/>
      <c r="D73" s="11">
        <f>SUM(D56:F56)*MAX(D47,$E$53)/10000*1/12</f>
        <v>1.6035618224077632</v>
      </c>
      <c r="E73" s="11">
        <f t="shared" ref="E73:E77" si="70">SUM(E56:F56)*MAX(E47,$E$53)/10000*2/12</f>
        <v>3.5416738106320795</v>
      </c>
      <c r="F73" s="11">
        <f t="shared" ref="F73:F77" si="71">SUM($F$55)*MAX(F47,$E$53)/10000*3/12</f>
        <v>4.8679447987284741</v>
      </c>
      <c r="G73" s="162">
        <f t="shared" ref="G73:M73" si="72">G66</f>
        <v>3.31</v>
      </c>
      <c r="H73" s="162">
        <f t="shared" si="72"/>
        <v>3.13</v>
      </c>
      <c r="I73" s="162">
        <f t="shared" si="72"/>
        <v>5.69</v>
      </c>
      <c r="J73" s="162">
        <f t="shared" si="72"/>
        <v>4.9400000000000004</v>
      </c>
      <c r="K73" s="162">
        <f t="shared" si="72"/>
        <v>7.63</v>
      </c>
      <c r="L73" s="162">
        <f t="shared" si="72"/>
        <v>4.63</v>
      </c>
      <c r="M73" s="165">
        <f t="shared" si="72"/>
        <v>1.63</v>
      </c>
      <c r="N73" s="605"/>
      <c r="U73" s="60"/>
      <c r="V73" s="55">
        <f t="shared" si="67"/>
        <v>38.824924115309031</v>
      </c>
    </row>
    <row r="74" spans="1:22" s="6" customFormat="1" ht="14.7" customHeight="1" x14ac:dyDescent="0.25">
      <c r="A74" s="605"/>
      <c r="B74" s="465" t="s">
        <v>211</v>
      </c>
      <c r="C74" s="164"/>
      <c r="D74" s="11">
        <f>SUM(D57:F57)*MAX(D48,$E$53)/10000*1/12</f>
        <v>4.7613880391544461</v>
      </c>
      <c r="E74" s="11">
        <f t="shared" si="70"/>
        <v>6.0099245187176598</v>
      </c>
      <c r="F74" s="11">
        <f t="shared" si="71"/>
        <v>6.6571973873742216</v>
      </c>
      <c r="G74" s="162">
        <f t="shared" ref="G74:M74" si="73">G67</f>
        <v>3.31</v>
      </c>
      <c r="H74" s="162">
        <f t="shared" si="73"/>
        <v>3.13</v>
      </c>
      <c r="I74" s="162">
        <f t="shared" si="73"/>
        <v>5.69</v>
      </c>
      <c r="J74" s="162">
        <f t="shared" si="73"/>
        <v>4.9400000000000004</v>
      </c>
      <c r="K74" s="162">
        <f t="shared" si="73"/>
        <v>7.63</v>
      </c>
      <c r="L74" s="162">
        <f t="shared" si="73"/>
        <v>4.63</v>
      </c>
      <c r="M74" s="165">
        <f t="shared" si="73"/>
        <v>1.63</v>
      </c>
      <c r="N74" s="605"/>
      <c r="U74" s="60"/>
      <c r="V74" s="55">
        <f t="shared" si="67"/>
        <v>43.605856724549703</v>
      </c>
    </row>
    <row r="75" spans="1:22" s="6" customFormat="1" ht="14.7" customHeight="1" x14ac:dyDescent="0.25">
      <c r="A75" s="605"/>
      <c r="B75" s="465" t="s">
        <v>212</v>
      </c>
      <c r="C75" s="164"/>
      <c r="D75" s="11">
        <f t="shared" si="68"/>
        <v>1.25</v>
      </c>
      <c r="E75" s="11">
        <f t="shared" si="70"/>
        <v>3.2968888592545795</v>
      </c>
      <c r="F75" s="11">
        <f t="shared" si="71"/>
        <v>4.7977745342830938</v>
      </c>
      <c r="G75" s="162">
        <f t="shared" ref="G75:M75" si="74">G68</f>
        <v>3.31</v>
      </c>
      <c r="H75" s="162">
        <f t="shared" si="74"/>
        <v>3.13</v>
      </c>
      <c r="I75" s="162">
        <f t="shared" si="74"/>
        <v>5.69</v>
      </c>
      <c r="J75" s="162">
        <f t="shared" si="74"/>
        <v>4.9400000000000004</v>
      </c>
      <c r="K75" s="162">
        <f t="shared" si="74"/>
        <v>7.63</v>
      </c>
      <c r="L75" s="162">
        <f t="shared" si="74"/>
        <v>4.63</v>
      </c>
      <c r="M75" s="165">
        <f t="shared" si="74"/>
        <v>1.63</v>
      </c>
      <c r="N75" s="605"/>
      <c r="U75" s="60"/>
      <c r="V75" s="55">
        <f t="shared" si="67"/>
        <v>37.839815228051499</v>
      </c>
    </row>
    <row r="76" spans="1:22" s="6" customFormat="1" ht="14.7" customHeight="1" x14ac:dyDescent="0.25">
      <c r="A76" s="605"/>
      <c r="B76" s="481" t="s">
        <v>213</v>
      </c>
      <c r="C76" s="164"/>
      <c r="D76" s="11">
        <f t="shared" si="68"/>
        <v>1.825844603506525</v>
      </c>
      <c r="E76" s="11">
        <f t="shared" si="70"/>
        <v>3.8487775482182172</v>
      </c>
      <c r="F76" s="11">
        <f t="shared" si="71"/>
        <v>5.2287227822977203</v>
      </c>
      <c r="G76" s="162">
        <f t="shared" ref="G76:M76" si="75">G69</f>
        <v>3.31</v>
      </c>
      <c r="H76" s="162">
        <f t="shared" si="75"/>
        <v>3.13</v>
      </c>
      <c r="I76" s="162">
        <f t="shared" si="75"/>
        <v>5.69</v>
      </c>
      <c r="J76" s="162">
        <f t="shared" si="75"/>
        <v>4.9400000000000004</v>
      </c>
      <c r="K76" s="162">
        <f t="shared" si="75"/>
        <v>7.63</v>
      </c>
      <c r="L76" s="162">
        <f t="shared" si="75"/>
        <v>4.63</v>
      </c>
      <c r="M76" s="165">
        <f t="shared" si="75"/>
        <v>1.63</v>
      </c>
      <c r="N76" s="605"/>
      <c r="U76" s="60"/>
      <c r="V76" s="55">
        <f t="shared" si="67"/>
        <v>38.653472991929853</v>
      </c>
    </row>
    <row r="77" spans="1:22" s="6" customFormat="1" ht="14.7" customHeight="1" x14ac:dyDescent="0.25">
      <c r="A77" s="605"/>
      <c r="B77" s="482" t="s">
        <v>214</v>
      </c>
      <c r="C77" s="166"/>
      <c r="D77" s="156">
        <f t="shared" si="68"/>
        <v>4.3761539184111635</v>
      </c>
      <c r="E77" s="156">
        <f t="shared" si="70"/>
        <v>5.6872159870663017</v>
      </c>
      <c r="F77" s="156">
        <f t="shared" si="71"/>
        <v>6.4008889362493173</v>
      </c>
      <c r="G77" s="167">
        <f t="shared" ref="G77:M77" si="76">G70</f>
        <v>3.31</v>
      </c>
      <c r="H77" s="167">
        <f t="shared" si="76"/>
        <v>3.13</v>
      </c>
      <c r="I77" s="167">
        <f t="shared" si="76"/>
        <v>5.69</v>
      </c>
      <c r="J77" s="167">
        <f t="shared" si="76"/>
        <v>4.9400000000000004</v>
      </c>
      <c r="K77" s="167">
        <f t="shared" si="76"/>
        <v>7.63</v>
      </c>
      <c r="L77" s="167">
        <f t="shared" si="76"/>
        <v>4.63</v>
      </c>
      <c r="M77" s="168">
        <f t="shared" si="76"/>
        <v>1.63</v>
      </c>
      <c r="N77" s="617"/>
      <c r="O77" s="61"/>
      <c r="P77" s="61"/>
      <c r="Q77" s="61"/>
      <c r="R77" s="61"/>
      <c r="S77" s="61"/>
      <c r="T77" s="61"/>
      <c r="U77" s="62"/>
      <c r="V77" s="55">
        <f t="shared" si="67"/>
        <v>43.090498736773704</v>
      </c>
    </row>
    <row r="78" spans="1:22" s="1" customFormat="1" ht="10.8" x14ac:dyDescent="0.3">
      <c r="B78" s="507"/>
      <c r="C78" s="57"/>
      <c r="D78" s="58"/>
      <c r="E78" s="58"/>
      <c r="F78" s="58"/>
      <c r="G78" s="58"/>
      <c r="H78" s="58"/>
      <c r="I78" s="58"/>
      <c r="J78" s="58"/>
      <c r="K78" s="58"/>
      <c r="L78" s="58"/>
      <c r="M78" s="58"/>
      <c r="N78" s="53"/>
      <c r="O78" s="53"/>
      <c r="P78" s="53"/>
      <c r="Q78" s="53"/>
      <c r="R78" s="53"/>
      <c r="S78" s="53"/>
      <c r="T78" s="53"/>
      <c r="U78" s="53"/>
      <c r="V78" s="53"/>
    </row>
    <row r="79" spans="1:22" s="1" customFormat="1" ht="14.7" customHeight="1" x14ac:dyDescent="0.25">
      <c r="B79" s="508" t="s">
        <v>43</v>
      </c>
      <c r="C79" s="509">
        <v>1.1000000000000001</v>
      </c>
      <c r="D79" s="13"/>
      <c r="E79" s="13"/>
      <c r="F79" s="13"/>
      <c r="G79" s="13"/>
      <c r="H79" s="13"/>
      <c r="I79" s="13"/>
      <c r="J79" s="13"/>
      <c r="K79" s="13"/>
      <c r="L79" s="13"/>
      <c r="M79" s="13"/>
      <c r="N79" s="6"/>
    </row>
    <row r="80" spans="1:22" s="1" customFormat="1" x14ac:dyDescent="0.3">
      <c r="C80" s="6"/>
      <c r="D80" s="6"/>
      <c r="E80" s="6"/>
      <c r="F80"/>
      <c r="G80"/>
      <c r="H80"/>
      <c r="I80"/>
      <c r="L80" s="6"/>
      <c r="M80" s="6"/>
      <c r="N80" s="6"/>
    </row>
    <row r="81" spans="2:14" s="1" customFormat="1" x14ac:dyDescent="0.3">
      <c r="B81" s="602" t="s">
        <v>204</v>
      </c>
      <c r="C81" s="6"/>
      <c r="D81" s="6"/>
      <c r="E81" s="6"/>
      <c r="F81"/>
      <c r="G81"/>
      <c r="H81"/>
      <c r="I81"/>
      <c r="L81" s="6"/>
      <c r="M81" s="6"/>
      <c r="N81" s="6"/>
    </row>
    <row r="82" spans="2:14" s="1" customFormat="1" ht="15" customHeight="1" x14ac:dyDescent="0.25">
      <c r="B82" s="616"/>
      <c r="C82" s="523" t="s">
        <v>224</v>
      </c>
      <c r="D82" s="523" t="s">
        <v>225</v>
      </c>
      <c r="E82" s="523" t="s">
        <v>226</v>
      </c>
      <c r="F82" s="523" t="s">
        <v>7</v>
      </c>
      <c r="G82" s="523" t="s">
        <v>227</v>
      </c>
      <c r="L82" s="6"/>
      <c r="M82" s="6"/>
      <c r="N82" s="6"/>
    </row>
    <row r="83" spans="2:14" s="1" customFormat="1" ht="15" customHeight="1" x14ac:dyDescent="0.3">
      <c r="B83" s="463" t="s">
        <v>18</v>
      </c>
      <c r="C83" s="524">
        <f t="shared" ref="C83:C89" si="77">V56+V71</f>
        <v>535.27341884227747</v>
      </c>
      <c r="D83" s="496">
        <f>C83-C83</f>
        <v>0</v>
      </c>
      <c r="E83" s="496">
        <f>(V56-$V$56)+(V64-$V$64)</f>
        <v>0</v>
      </c>
      <c r="F83" s="496">
        <v>0</v>
      </c>
      <c r="G83" s="496">
        <f>E83+F83</f>
        <v>0</v>
      </c>
      <c r="H83"/>
      <c r="I83"/>
      <c r="L83" s="6"/>
      <c r="M83" s="6"/>
      <c r="N83" s="6"/>
    </row>
    <row r="84" spans="2:14" s="1" customFormat="1" ht="15" customHeight="1" x14ac:dyDescent="0.3">
      <c r="B84" s="525" t="s">
        <v>40</v>
      </c>
      <c r="C84" s="530">
        <f t="shared" si="77"/>
        <v>530.97933280391703</v>
      </c>
      <c r="D84" s="531">
        <f>C84-$C$83</f>
        <v>-4.2940860383604331</v>
      </c>
      <c r="E84" s="530">
        <f t="shared" ref="E84:E89" si="78">(V57-$V$56)+(V65-$V$64)</f>
        <v>-4.2940860383604686</v>
      </c>
      <c r="F84" s="532">
        <f>(V72-V65)*$C$79</f>
        <v>0</v>
      </c>
      <c r="G84" s="530">
        <f t="shared" ref="G84:G89" si="79">E84+F84</f>
        <v>-4.2940860383604686</v>
      </c>
      <c r="H84"/>
      <c r="I84"/>
      <c r="L84" s="6"/>
      <c r="M84" s="6"/>
      <c r="N84" s="6"/>
    </row>
    <row r="85" spans="2:14" s="1" customFormat="1" ht="15" customHeight="1" x14ac:dyDescent="0.3">
      <c r="B85" s="526" t="s">
        <v>41</v>
      </c>
      <c r="C85" s="497">
        <f t="shared" si="77"/>
        <v>536.14778343092848</v>
      </c>
      <c r="D85" s="501">
        <f t="shared" ref="D85:D89" si="80">C85-$C$83</f>
        <v>0.8743645886510194</v>
      </c>
      <c r="E85" s="497">
        <f t="shared" si="78"/>
        <v>0.87436458865103361</v>
      </c>
      <c r="F85" s="56">
        <f t="shared" ref="F85:F89" si="81">(V73-V66)*$C$79</f>
        <v>0</v>
      </c>
      <c r="G85" s="497">
        <f t="shared" si="79"/>
        <v>0.87436458865103361</v>
      </c>
      <c r="H85"/>
      <c r="I85"/>
      <c r="L85" s="6"/>
      <c r="M85" s="6"/>
      <c r="N85" s="6"/>
    </row>
    <row r="86" spans="2:14" s="1" customFormat="1" ht="15" customHeight="1" x14ac:dyDescent="0.3">
      <c r="B86" s="527" t="s">
        <v>38</v>
      </c>
      <c r="C86" s="497">
        <f t="shared" si="77"/>
        <v>530.78013149388767</v>
      </c>
      <c r="D86" s="501">
        <f t="shared" si="80"/>
        <v>-4.4932873483897993</v>
      </c>
      <c r="E86" s="497">
        <f t="shared" si="78"/>
        <v>-4.4932873483898348</v>
      </c>
      <c r="F86" s="56">
        <f t="shared" si="81"/>
        <v>0</v>
      </c>
      <c r="G86" s="497">
        <f t="shared" si="79"/>
        <v>-4.4932873483898348</v>
      </c>
      <c r="H86"/>
      <c r="I86"/>
      <c r="J86"/>
      <c r="K86"/>
      <c r="L86"/>
      <c r="M86" s="6"/>
      <c r="N86" s="6"/>
    </row>
    <row r="87" spans="2:14" s="1" customFormat="1" ht="15" customHeight="1" x14ac:dyDescent="0.25">
      <c r="B87" s="527" t="s">
        <v>208</v>
      </c>
      <c r="C87" s="497">
        <f t="shared" si="77"/>
        <v>536.4076348475237</v>
      </c>
      <c r="D87" s="501">
        <f t="shared" si="80"/>
        <v>1.1342160052462305</v>
      </c>
      <c r="E87" s="497">
        <f t="shared" si="78"/>
        <v>1.0295142051755661</v>
      </c>
      <c r="F87" s="56">
        <f t="shared" si="81"/>
        <v>0.11517198007773857</v>
      </c>
      <c r="G87" s="497">
        <f t="shared" si="79"/>
        <v>1.1446861852533048</v>
      </c>
      <c r="M87" s="6"/>
      <c r="N87" s="6"/>
    </row>
    <row r="88" spans="2:14" s="1" customFormat="1" ht="15" customHeight="1" x14ac:dyDescent="0.25">
      <c r="B88" s="528" t="s">
        <v>33</v>
      </c>
      <c r="C88" s="497">
        <f t="shared" si="77"/>
        <v>534.99294838882713</v>
      </c>
      <c r="D88" s="501">
        <f t="shared" si="80"/>
        <v>-0.28047045345033439</v>
      </c>
      <c r="E88" s="497">
        <f t="shared" si="78"/>
        <v>-0.28047045345041255</v>
      </c>
      <c r="F88" s="56">
        <f t="shared" si="81"/>
        <v>0</v>
      </c>
      <c r="G88" s="497">
        <f t="shared" si="79"/>
        <v>-0.28047045345041255</v>
      </c>
      <c r="M88" s="6"/>
      <c r="N88" s="6"/>
    </row>
    <row r="89" spans="2:14" s="1" customFormat="1" ht="15" customHeight="1" x14ac:dyDescent="0.25">
      <c r="B89" s="529" t="s">
        <v>52</v>
      </c>
      <c r="C89" s="498">
        <f t="shared" si="77"/>
        <v>531.53311097096741</v>
      </c>
      <c r="D89" s="502">
        <f t="shared" si="80"/>
        <v>-3.7403078713100513</v>
      </c>
      <c r="E89" s="498">
        <f t="shared" si="78"/>
        <v>-3.740307871310101</v>
      </c>
      <c r="F89" s="533">
        <f t="shared" si="81"/>
        <v>0</v>
      </c>
      <c r="G89" s="498">
        <f t="shared" si="79"/>
        <v>-3.740307871310101</v>
      </c>
      <c r="M89" s="6"/>
      <c r="N89" s="6"/>
    </row>
    <row r="90" spans="2:14" x14ac:dyDescent="0.3">
      <c r="L90" s="1"/>
    </row>
  </sheetData>
  <sheetProtection algorithmName="SHA-512" hashValue="E0LdLyUurs/FZO0pBBKrslyRy/nFqR+oJifuBr4QBgJYwrt+kSlarHmoOcCMmjDtm4D/M/vkEsqipIDXWtBE9A==" saltValue="osBIhDmE/EveHqktZPvyLw==" spinCount="100000" sheet="1" objects="1" scenarios="1"/>
  <mergeCells count="15">
    <mergeCell ref="B1:Q1"/>
    <mergeCell ref="C2:J2"/>
    <mergeCell ref="L2:P2"/>
    <mergeCell ref="L3:O3"/>
    <mergeCell ref="A20:A24"/>
    <mergeCell ref="A56:A61"/>
    <mergeCell ref="A65:A70"/>
    <mergeCell ref="N65:N70"/>
    <mergeCell ref="A72:A77"/>
    <mergeCell ref="N72:N77"/>
    <mergeCell ref="C53:D53"/>
    <mergeCell ref="E53:F53"/>
    <mergeCell ref="G53:J53"/>
    <mergeCell ref="B81:B82"/>
    <mergeCell ref="W54:W55"/>
  </mergeCells>
  <conditionalFormatting sqref="C45:U51">
    <cfRule type="cellIs" dxfId="0" priority="1" operator="lessThan">
      <formula>$E$53</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DF99-E8E7-499E-872A-DC021B0EEEE2}">
  <sheetPr codeName="Sheet7">
    <tabColor theme="8" tint="0.59999389629810485"/>
    <pageSetUpPr fitToPage="1"/>
  </sheetPr>
  <dimension ref="B1:R78"/>
  <sheetViews>
    <sheetView showGridLines="0" zoomScale="70" zoomScaleNormal="70" workbookViewId="0">
      <selection activeCell="C1" sqref="C1"/>
    </sheetView>
  </sheetViews>
  <sheetFormatPr defaultColWidth="8.88671875" defaultRowHeight="14.4" x14ac:dyDescent="0.3"/>
  <cols>
    <col min="1" max="1" width="2.44140625" style="70" customWidth="1"/>
    <col min="2" max="2" width="8.88671875" style="70"/>
    <col min="3" max="3" width="93.6640625" style="70" customWidth="1"/>
    <col min="4" max="5" width="13.21875" style="70" customWidth="1"/>
    <col min="6" max="12" width="14.44140625" style="70" customWidth="1"/>
    <col min="13" max="15" width="13.21875" style="70" customWidth="1"/>
    <col min="16" max="18" width="15.5546875" style="70" customWidth="1"/>
    <col min="19" max="19" width="12.77734375" style="70" customWidth="1"/>
    <col min="20" max="16384" width="8.88671875" style="70"/>
  </cols>
  <sheetData>
    <row r="1" spans="2:18" ht="15" thickBot="1" x14ac:dyDescent="0.35"/>
    <row r="2" spans="2:18" ht="16.8" thickBot="1" x14ac:dyDescent="0.35">
      <c r="B2" s="540" t="s">
        <v>60</v>
      </c>
      <c r="C2" s="541"/>
      <c r="D2" s="541"/>
      <c r="E2" s="541"/>
      <c r="F2" s="541"/>
      <c r="G2" s="541"/>
      <c r="H2" s="541"/>
      <c r="I2" s="541"/>
      <c r="J2" s="541"/>
      <c r="K2" s="541"/>
      <c r="L2" s="541"/>
      <c r="M2" s="541"/>
      <c r="N2" s="541"/>
      <c r="O2" s="541"/>
      <c r="P2" s="541"/>
      <c r="Q2" s="541"/>
      <c r="R2" s="542"/>
    </row>
    <row r="3" spans="2:18" x14ac:dyDescent="0.3">
      <c r="B3" s="71"/>
      <c r="C3" s="72"/>
      <c r="D3" s="73"/>
      <c r="E3" s="73"/>
      <c r="F3" s="72"/>
      <c r="G3" s="72"/>
      <c r="H3" s="72"/>
      <c r="I3" s="72"/>
      <c r="J3" s="72"/>
      <c r="K3" s="72"/>
      <c r="L3" s="72"/>
      <c r="M3" s="72"/>
      <c r="N3" s="72"/>
      <c r="O3" s="72"/>
      <c r="P3" s="72"/>
      <c r="Q3" s="72"/>
      <c r="R3" s="72"/>
    </row>
    <row r="4" spans="2:18" x14ac:dyDescent="0.3">
      <c r="B4" s="74"/>
      <c r="C4" s="75" t="s">
        <v>184</v>
      </c>
      <c r="D4" s="625"/>
      <c r="E4" s="626"/>
      <c r="F4" s="627"/>
      <c r="G4" s="72"/>
      <c r="H4" s="72"/>
      <c r="I4" s="72"/>
      <c r="J4" s="72"/>
      <c r="K4" s="72"/>
      <c r="L4" s="72"/>
      <c r="M4" s="72"/>
      <c r="N4" s="72"/>
      <c r="O4" s="72"/>
      <c r="P4" s="72"/>
      <c r="Q4" s="72"/>
      <c r="R4" s="72"/>
    </row>
    <row r="5" spans="2:18" x14ac:dyDescent="0.3">
      <c r="B5" s="76"/>
      <c r="C5" s="72"/>
      <c r="D5" s="77"/>
      <c r="E5" s="77"/>
      <c r="F5" s="72"/>
      <c r="G5" s="72"/>
      <c r="H5" s="72"/>
      <c r="I5" s="72"/>
      <c r="J5" s="72"/>
      <c r="K5" s="72"/>
      <c r="L5" s="72"/>
      <c r="M5" s="72"/>
      <c r="N5" s="72"/>
      <c r="O5" s="72"/>
      <c r="P5" s="72"/>
      <c r="Q5" s="72"/>
      <c r="R5" s="72"/>
    </row>
    <row r="6" spans="2:18" ht="15" thickBot="1" x14ac:dyDescent="0.35">
      <c r="B6" s="76"/>
      <c r="C6" s="78"/>
      <c r="D6" s="78"/>
      <c r="E6" s="78"/>
      <c r="F6" s="78"/>
      <c r="G6" s="78"/>
      <c r="H6" s="78"/>
      <c r="I6" s="78"/>
      <c r="J6" s="78"/>
      <c r="K6" s="78"/>
      <c r="L6" s="78"/>
      <c r="M6" s="78"/>
      <c r="N6" s="78"/>
      <c r="O6" s="78"/>
      <c r="P6" s="78"/>
      <c r="Q6" s="78"/>
      <c r="R6" s="78"/>
    </row>
    <row r="7" spans="2:18" ht="14.4" customHeight="1" x14ac:dyDescent="0.3">
      <c r="B7" s="628"/>
      <c r="C7" s="629"/>
      <c r="D7" s="632" t="s">
        <v>64</v>
      </c>
      <c r="E7" s="634" t="s">
        <v>65</v>
      </c>
      <c r="F7" s="636" t="s">
        <v>61</v>
      </c>
      <c r="G7" s="637"/>
      <c r="H7" s="637"/>
      <c r="I7" s="637"/>
      <c r="J7" s="637"/>
      <c r="K7" s="637"/>
      <c r="L7" s="638"/>
      <c r="M7" s="636" t="s">
        <v>62</v>
      </c>
      <c r="N7" s="637"/>
      <c r="O7" s="638"/>
      <c r="P7" s="637" t="s">
        <v>63</v>
      </c>
      <c r="Q7" s="637"/>
      <c r="R7" s="638"/>
    </row>
    <row r="8" spans="2:18" ht="76.2" thickBot="1" x14ac:dyDescent="0.35">
      <c r="B8" s="630"/>
      <c r="C8" s="631"/>
      <c r="D8" s="633"/>
      <c r="E8" s="635"/>
      <c r="F8" s="266" t="s">
        <v>81</v>
      </c>
      <c r="G8" s="267" t="s">
        <v>82</v>
      </c>
      <c r="H8" s="267" t="s">
        <v>83</v>
      </c>
      <c r="I8" s="267" t="s">
        <v>85</v>
      </c>
      <c r="J8" s="267" t="s">
        <v>84</v>
      </c>
      <c r="K8" s="267" t="s">
        <v>86</v>
      </c>
      <c r="L8" s="268" t="s">
        <v>87</v>
      </c>
      <c r="M8" s="266" t="s">
        <v>88</v>
      </c>
      <c r="N8" s="267" t="s">
        <v>89</v>
      </c>
      <c r="O8" s="268" t="s">
        <v>83</v>
      </c>
      <c r="P8" s="291" t="s">
        <v>90</v>
      </c>
      <c r="Q8" s="267" t="s">
        <v>91</v>
      </c>
      <c r="R8" s="268" t="s">
        <v>92</v>
      </c>
    </row>
    <row r="9" spans="2:18" ht="15" thickBot="1" x14ac:dyDescent="0.35">
      <c r="B9" s="630"/>
      <c r="C9" s="631"/>
      <c r="D9" s="260" t="s">
        <v>66</v>
      </c>
      <c r="E9" s="261" t="s">
        <v>67</v>
      </c>
      <c r="F9" s="260" t="s">
        <v>68</v>
      </c>
      <c r="G9" s="262" t="s">
        <v>69</v>
      </c>
      <c r="H9" s="263" t="s">
        <v>70</v>
      </c>
      <c r="I9" s="262" t="s">
        <v>71</v>
      </c>
      <c r="J9" s="263" t="s">
        <v>72</v>
      </c>
      <c r="K9" s="262" t="s">
        <v>73</v>
      </c>
      <c r="L9" s="264" t="s">
        <v>74</v>
      </c>
      <c r="M9" s="265" t="s">
        <v>75</v>
      </c>
      <c r="N9" s="263" t="s">
        <v>76</v>
      </c>
      <c r="O9" s="261" t="s">
        <v>77</v>
      </c>
      <c r="P9" s="263" t="s">
        <v>78</v>
      </c>
      <c r="Q9" s="262" t="s">
        <v>79</v>
      </c>
      <c r="R9" s="264" t="s">
        <v>80</v>
      </c>
    </row>
    <row r="10" spans="2:18" x14ac:dyDescent="0.3">
      <c r="B10" s="340" t="s">
        <v>66</v>
      </c>
      <c r="C10" s="288" t="s">
        <v>93</v>
      </c>
      <c r="D10" s="461"/>
      <c r="E10" s="344"/>
      <c r="F10" s="343"/>
      <c r="G10" s="345"/>
      <c r="H10" s="345"/>
      <c r="I10" s="345"/>
      <c r="J10" s="345"/>
      <c r="K10" s="345"/>
      <c r="L10" s="346"/>
      <c r="M10" s="302"/>
      <c r="N10" s="81"/>
      <c r="O10" s="315"/>
      <c r="P10" s="330"/>
      <c r="Q10" s="80"/>
      <c r="R10" s="82"/>
    </row>
    <row r="11" spans="2:18" x14ac:dyDescent="0.3">
      <c r="B11" s="341" t="s">
        <v>67</v>
      </c>
      <c r="C11" s="289" t="s">
        <v>94</v>
      </c>
      <c r="D11" s="347"/>
      <c r="E11" s="348"/>
      <c r="F11" s="349">
        <f>SUM(F12:F13)</f>
        <v>0</v>
      </c>
      <c r="G11" s="350">
        <f t="shared" ref="G11" si="0">SUM(G12:G13)</f>
        <v>0</v>
      </c>
      <c r="H11" s="350">
        <f t="shared" ref="H11" si="1">SUM(H12:H13)</f>
        <v>-2.5522984771499431</v>
      </c>
      <c r="I11" s="350">
        <f t="shared" ref="I11" si="2">SUM(I12:I13)</f>
        <v>0</v>
      </c>
      <c r="J11" s="350">
        <f t="shared" ref="J11" si="3">SUM(J12:J13)</f>
        <v>0</v>
      </c>
      <c r="K11" s="350">
        <f t="shared" ref="K11" si="4">SUM(K12:K13)</f>
        <v>0</v>
      </c>
      <c r="L11" s="351">
        <f t="shared" ref="L11" si="5">SUM(L12:L13)</f>
        <v>-62.979302146721686</v>
      </c>
      <c r="M11" s="295"/>
      <c r="N11" s="84"/>
      <c r="O11" s="86"/>
      <c r="P11" s="83"/>
      <c r="Q11" s="84"/>
      <c r="R11" s="86"/>
    </row>
    <row r="12" spans="2:18" x14ac:dyDescent="0.3">
      <c r="B12" s="356"/>
      <c r="C12" s="357" t="s">
        <v>181</v>
      </c>
      <c r="D12" s="347"/>
      <c r="E12" s="348"/>
      <c r="F12" s="349">
        <f>AO_пријевремена_отплата!F82</f>
        <v>0</v>
      </c>
      <c r="G12" s="350">
        <f>AO_пријевремена_отплата!F83</f>
        <v>0</v>
      </c>
      <c r="H12" s="350">
        <f>AO_пријевремена_отплата!F84</f>
        <v>-2.5522984771499431</v>
      </c>
      <c r="I12" s="350">
        <f>AO_пријевремена_отплата!F88</f>
        <v>0</v>
      </c>
      <c r="J12" s="350">
        <f>AO_пријевремена_отплата!F87</f>
        <v>0</v>
      </c>
      <c r="K12" s="350">
        <f>AO_пријевремена_отплата!F85</f>
        <v>0</v>
      </c>
      <c r="L12" s="351">
        <f>AO_пријевремена_отплата!F86</f>
        <v>-63.094474126799426</v>
      </c>
      <c r="M12" s="295"/>
      <c r="N12" s="84"/>
      <c r="O12" s="86"/>
      <c r="P12" s="83"/>
      <c r="Q12" s="84"/>
      <c r="R12" s="86"/>
    </row>
    <row r="13" spans="2:18" x14ac:dyDescent="0.3">
      <c r="B13" s="563"/>
      <c r="C13" s="562" t="s">
        <v>182</v>
      </c>
      <c r="D13" s="347"/>
      <c r="E13" s="348"/>
      <c r="F13" s="349">
        <f>AO_ограничења!F83</f>
        <v>0</v>
      </c>
      <c r="G13" s="350">
        <f>AO_ограничења!F84</f>
        <v>0</v>
      </c>
      <c r="H13" s="350">
        <f>AO_ограничења!F85</f>
        <v>0</v>
      </c>
      <c r="I13" s="350">
        <f>AO_ограничења!F89</f>
        <v>0</v>
      </c>
      <c r="J13" s="350">
        <f>AO_ограничења!F88</f>
        <v>0</v>
      </c>
      <c r="K13" s="350">
        <f>AO_ограничења!F86</f>
        <v>0</v>
      </c>
      <c r="L13" s="351">
        <f>AO_ограничења!F87</f>
        <v>0.11517198007773857</v>
      </c>
      <c r="M13" s="295"/>
      <c r="N13" s="84"/>
      <c r="O13" s="86"/>
      <c r="P13" s="83"/>
      <c r="Q13" s="84"/>
      <c r="R13" s="86"/>
    </row>
    <row r="14" spans="2:18" x14ac:dyDescent="0.3">
      <c r="B14" s="341" t="s">
        <v>68</v>
      </c>
      <c r="C14" s="332" t="s">
        <v>95</v>
      </c>
      <c r="D14" s="349"/>
      <c r="E14" s="348"/>
      <c r="F14" s="349"/>
      <c r="G14" s="350"/>
      <c r="H14" s="350"/>
      <c r="I14" s="350"/>
      <c r="J14" s="350"/>
      <c r="K14" s="350"/>
      <c r="L14" s="351"/>
      <c r="M14" s="296"/>
      <c r="N14" s="85"/>
      <c r="O14" s="115"/>
      <c r="P14" s="83"/>
      <c r="Q14" s="84"/>
      <c r="R14" s="86"/>
    </row>
    <row r="15" spans="2:18" x14ac:dyDescent="0.3">
      <c r="B15" s="341" t="s">
        <v>69</v>
      </c>
      <c r="C15" s="332" t="s">
        <v>96</v>
      </c>
      <c r="D15" s="352"/>
      <c r="E15" s="353"/>
      <c r="F15" s="352"/>
      <c r="G15" s="354"/>
      <c r="H15" s="354"/>
      <c r="I15" s="354"/>
      <c r="J15" s="354"/>
      <c r="K15" s="354"/>
      <c r="L15" s="355"/>
      <c r="M15" s="297"/>
      <c r="N15" s="90"/>
      <c r="O15" s="312"/>
      <c r="P15" s="83"/>
      <c r="Q15" s="84"/>
      <c r="R15" s="86"/>
    </row>
    <row r="16" spans="2:18" x14ac:dyDescent="0.3">
      <c r="B16" s="341" t="s">
        <v>70</v>
      </c>
      <c r="C16" s="333" t="s">
        <v>97</v>
      </c>
      <c r="D16" s="428">
        <f>SUM(D17:D18)</f>
        <v>1000</v>
      </c>
      <c r="E16" s="348"/>
      <c r="F16" s="349">
        <f>SUM(F17:F18)</f>
        <v>1024.9687880950123</v>
      </c>
      <c r="G16" s="350">
        <f t="shared" ref="G16:L16" si="6">SUM(G17:G18)</f>
        <v>-31.214566987537509</v>
      </c>
      <c r="H16" s="350">
        <f t="shared" si="6"/>
        <v>30.114074983405448</v>
      </c>
      <c r="I16" s="350">
        <f>SUM(I17:I18)</f>
        <v>-13.205439903305184</v>
      </c>
      <c r="J16" s="350">
        <f t="shared" si="6"/>
        <v>3.8867004561408081</v>
      </c>
      <c r="K16" s="350">
        <f t="shared" si="6"/>
        <v>-22.678164642784346</v>
      </c>
      <c r="L16" s="351">
        <f t="shared" si="6"/>
        <v>8.1109403471943846</v>
      </c>
      <c r="M16" s="296"/>
      <c r="N16" s="85"/>
      <c r="O16" s="115"/>
      <c r="P16" s="83"/>
      <c r="Q16" s="84"/>
      <c r="R16" s="86"/>
    </row>
    <row r="17" spans="2:18" x14ac:dyDescent="0.3">
      <c r="B17" s="356"/>
      <c r="C17" s="357" t="s">
        <v>181</v>
      </c>
      <c r="D17" s="428">
        <f>AO_пријевремена_отплата!C5</f>
        <v>500</v>
      </c>
      <c r="E17" s="348"/>
      <c r="F17" s="349">
        <f>AO_пријевремена_отплата!C82</f>
        <v>489.69536925273474</v>
      </c>
      <c r="G17" s="350">
        <f>AO_пријевремена_отплата!G83</f>
        <v>-26.92048094917704</v>
      </c>
      <c r="H17" s="350">
        <f>AO_пријевремена_отплата!G84</f>
        <v>29.239710394754415</v>
      </c>
      <c r="I17" s="350">
        <f>AO_пријевремена_отплата!G88</f>
        <v>-9.4651320319950827</v>
      </c>
      <c r="J17" s="350">
        <f>AO_пријевремена_отплата!G87</f>
        <v>4.1671709095912206</v>
      </c>
      <c r="K17" s="350">
        <f>AO_пријевремена_отплата!G85</f>
        <v>-18.184877294394511</v>
      </c>
      <c r="L17" s="351">
        <f>AO_пријевремена_отплата!G86</f>
        <v>6.9662541619410803</v>
      </c>
      <c r="M17" s="296"/>
      <c r="N17" s="85"/>
      <c r="O17" s="115"/>
      <c r="P17" s="83"/>
      <c r="Q17" s="84"/>
      <c r="R17" s="86"/>
    </row>
    <row r="18" spans="2:18" x14ac:dyDescent="0.3">
      <c r="B18" s="563"/>
      <c r="C18" s="562" t="s">
        <v>182</v>
      </c>
      <c r="D18" s="428">
        <f>AO_ограничења!C7</f>
        <v>500</v>
      </c>
      <c r="E18" s="348"/>
      <c r="F18" s="349">
        <f>AO_ограничења!C83</f>
        <v>535.27341884227747</v>
      </c>
      <c r="G18" s="350">
        <f>AO_ограничења!G84</f>
        <v>-4.2940860383604686</v>
      </c>
      <c r="H18" s="350">
        <f>AO_ограничења!G85</f>
        <v>0.87436458865103361</v>
      </c>
      <c r="I18" s="350">
        <f>AO_ограничења!G89</f>
        <v>-3.740307871310101</v>
      </c>
      <c r="J18" s="350">
        <f>AO_ограничења!G88</f>
        <v>-0.28047045345041255</v>
      </c>
      <c r="K18" s="350">
        <f>AO_ограничења!G86</f>
        <v>-4.4932873483898348</v>
      </c>
      <c r="L18" s="351">
        <f>AO_ограничења!G87</f>
        <v>1.1446861852533048</v>
      </c>
      <c r="M18" s="296"/>
      <c r="N18" s="85"/>
      <c r="O18" s="115"/>
      <c r="P18" s="83"/>
      <c r="Q18" s="84"/>
      <c r="R18" s="86"/>
    </row>
    <row r="19" spans="2:18" x14ac:dyDescent="0.3">
      <c r="B19" s="341" t="s">
        <v>71</v>
      </c>
      <c r="C19" s="334" t="s">
        <v>98</v>
      </c>
      <c r="D19" s="295"/>
      <c r="E19" s="86"/>
      <c r="F19" s="295"/>
      <c r="G19" s="84"/>
      <c r="H19" s="84"/>
      <c r="I19" s="84"/>
      <c r="J19" s="84"/>
      <c r="K19" s="84"/>
      <c r="L19" s="86"/>
      <c r="M19" s="295"/>
      <c r="N19" s="84"/>
      <c r="O19" s="86"/>
      <c r="P19" s="83"/>
      <c r="Q19" s="84"/>
      <c r="R19" s="86"/>
    </row>
    <row r="20" spans="2:18" x14ac:dyDescent="0.3">
      <c r="B20" s="341" t="s">
        <v>72</v>
      </c>
      <c r="C20" s="334" t="s">
        <v>99</v>
      </c>
      <c r="D20" s="295"/>
      <c r="E20" s="86"/>
      <c r="F20" s="295"/>
      <c r="G20" s="84"/>
      <c r="H20" s="84"/>
      <c r="I20" s="84"/>
      <c r="J20" s="84"/>
      <c r="K20" s="84"/>
      <c r="L20" s="86"/>
      <c r="M20" s="295"/>
      <c r="N20" s="84"/>
      <c r="O20" s="86"/>
      <c r="P20" s="83"/>
      <c r="Q20" s="84"/>
      <c r="R20" s="86"/>
    </row>
    <row r="21" spans="2:18" x14ac:dyDescent="0.3">
      <c r="B21" s="341" t="s">
        <v>73</v>
      </c>
      <c r="C21" s="334" t="s">
        <v>100</v>
      </c>
      <c r="D21" s="295"/>
      <c r="E21" s="86"/>
      <c r="F21" s="296"/>
      <c r="G21" s="85"/>
      <c r="H21" s="85"/>
      <c r="I21" s="85"/>
      <c r="J21" s="85"/>
      <c r="K21" s="85"/>
      <c r="L21" s="115"/>
      <c r="M21" s="296"/>
      <c r="N21" s="85"/>
      <c r="O21" s="115"/>
      <c r="P21" s="83"/>
      <c r="Q21" s="84"/>
      <c r="R21" s="86"/>
    </row>
    <row r="22" spans="2:18" x14ac:dyDescent="0.3">
      <c r="B22" s="341" t="s">
        <v>74</v>
      </c>
      <c r="C22" s="335" t="s">
        <v>101</v>
      </c>
      <c r="D22" s="295"/>
      <c r="E22" s="86"/>
      <c r="F22" s="295"/>
      <c r="G22" s="84"/>
      <c r="H22" s="84"/>
      <c r="I22" s="84"/>
      <c r="J22" s="84"/>
      <c r="K22" s="84"/>
      <c r="L22" s="86"/>
      <c r="M22" s="295"/>
      <c r="N22" s="84"/>
      <c r="O22" s="86"/>
      <c r="P22" s="83"/>
      <c r="Q22" s="84"/>
      <c r="R22" s="86"/>
    </row>
    <row r="23" spans="2:18" x14ac:dyDescent="0.3">
      <c r="B23" s="341" t="s">
        <v>75</v>
      </c>
      <c r="C23" s="334" t="s">
        <v>102</v>
      </c>
      <c r="D23" s="295"/>
      <c r="E23" s="86"/>
      <c r="F23" s="296"/>
      <c r="G23" s="85"/>
      <c r="H23" s="85"/>
      <c r="I23" s="85"/>
      <c r="J23" s="85"/>
      <c r="K23" s="85"/>
      <c r="L23" s="115"/>
      <c r="M23" s="296"/>
      <c r="N23" s="85"/>
      <c r="O23" s="115"/>
      <c r="P23" s="83"/>
      <c r="Q23" s="84"/>
      <c r="R23" s="86"/>
    </row>
    <row r="24" spans="2:18" x14ac:dyDescent="0.3">
      <c r="B24" s="341" t="s">
        <v>76</v>
      </c>
      <c r="C24" s="334" t="s">
        <v>103</v>
      </c>
      <c r="D24" s="295"/>
      <c r="E24" s="86"/>
      <c r="F24" s="296"/>
      <c r="G24" s="85"/>
      <c r="H24" s="85"/>
      <c r="I24" s="85"/>
      <c r="J24" s="85"/>
      <c r="K24" s="85"/>
      <c r="L24" s="115"/>
      <c r="M24" s="296"/>
      <c r="N24" s="85"/>
      <c r="O24" s="115"/>
      <c r="P24" s="83"/>
      <c r="Q24" s="84"/>
      <c r="R24" s="86"/>
    </row>
    <row r="25" spans="2:18" x14ac:dyDescent="0.3">
      <c r="B25" s="341" t="s">
        <v>77</v>
      </c>
      <c r="C25" s="333" t="s">
        <v>104</v>
      </c>
      <c r="D25" s="296"/>
      <c r="E25" s="86"/>
      <c r="F25" s="296"/>
      <c r="G25" s="85"/>
      <c r="H25" s="85"/>
      <c r="I25" s="85"/>
      <c r="J25" s="85"/>
      <c r="K25" s="85"/>
      <c r="L25" s="115"/>
      <c r="M25" s="296"/>
      <c r="N25" s="85"/>
      <c r="O25" s="115"/>
      <c r="P25" s="83"/>
      <c r="Q25" s="84"/>
      <c r="R25" s="86"/>
    </row>
    <row r="26" spans="2:18" x14ac:dyDescent="0.3">
      <c r="B26" s="341" t="s">
        <v>78</v>
      </c>
      <c r="C26" s="334" t="s">
        <v>98</v>
      </c>
      <c r="D26" s="295"/>
      <c r="E26" s="86"/>
      <c r="F26" s="295"/>
      <c r="G26" s="84"/>
      <c r="H26" s="84"/>
      <c r="I26" s="84"/>
      <c r="J26" s="84"/>
      <c r="K26" s="84"/>
      <c r="L26" s="86"/>
      <c r="M26" s="295"/>
      <c r="N26" s="84"/>
      <c r="O26" s="86"/>
      <c r="P26" s="83"/>
      <c r="Q26" s="84"/>
      <c r="R26" s="86"/>
    </row>
    <row r="27" spans="2:18" x14ac:dyDescent="0.3">
      <c r="B27" s="341" t="s">
        <v>79</v>
      </c>
      <c r="C27" s="333" t="s">
        <v>105</v>
      </c>
      <c r="D27" s="296"/>
      <c r="E27" s="86"/>
      <c r="F27" s="296"/>
      <c r="G27" s="85"/>
      <c r="H27" s="85"/>
      <c r="I27" s="85"/>
      <c r="J27" s="85"/>
      <c r="K27" s="85"/>
      <c r="L27" s="115"/>
      <c r="M27" s="296"/>
      <c r="N27" s="85"/>
      <c r="O27" s="115"/>
      <c r="P27" s="83"/>
      <c r="Q27" s="84"/>
      <c r="R27" s="86"/>
    </row>
    <row r="28" spans="2:18" x14ac:dyDescent="0.3">
      <c r="B28" s="341" t="s">
        <v>80</v>
      </c>
      <c r="C28" s="334" t="s">
        <v>98</v>
      </c>
      <c r="D28" s="299"/>
      <c r="E28" s="300"/>
      <c r="F28" s="299"/>
      <c r="G28" s="91"/>
      <c r="H28" s="91"/>
      <c r="I28" s="91"/>
      <c r="J28" s="91"/>
      <c r="K28" s="91"/>
      <c r="L28" s="300"/>
      <c r="M28" s="299"/>
      <c r="N28" s="91"/>
      <c r="O28" s="300"/>
      <c r="P28" s="83"/>
      <c r="Q28" s="84"/>
      <c r="R28" s="86"/>
    </row>
    <row r="29" spans="2:18" x14ac:dyDescent="0.3">
      <c r="B29" s="341" t="s">
        <v>106</v>
      </c>
      <c r="C29" s="334" t="s">
        <v>107</v>
      </c>
      <c r="D29" s="295"/>
      <c r="E29" s="86"/>
      <c r="F29" s="296"/>
      <c r="G29" s="85"/>
      <c r="H29" s="85"/>
      <c r="I29" s="85"/>
      <c r="J29" s="85"/>
      <c r="K29" s="85"/>
      <c r="L29" s="115"/>
      <c r="M29" s="296"/>
      <c r="N29" s="85"/>
      <c r="O29" s="115"/>
      <c r="P29" s="83"/>
      <c r="Q29" s="84"/>
      <c r="R29" s="86"/>
    </row>
    <row r="30" spans="2:18" x14ac:dyDescent="0.3">
      <c r="B30" s="341" t="s">
        <v>108</v>
      </c>
      <c r="C30" s="334" t="s">
        <v>109</v>
      </c>
      <c r="D30" s="295"/>
      <c r="E30" s="86"/>
      <c r="F30" s="296"/>
      <c r="G30" s="85"/>
      <c r="H30" s="85"/>
      <c r="I30" s="85"/>
      <c r="J30" s="85"/>
      <c r="K30" s="85"/>
      <c r="L30" s="115"/>
      <c r="M30" s="296"/>
      <c r="N30" s="85"/>
      <c r="O30" s="115"/>
      <c r="P30" s="83"/>
      <c r="Q30" s="84"/>
      <c r="R30" s="86"/>
    </row>
    <row r="31" spans="2:18" x14ac:dyDescent="0.3">
      <c r="B31" s="341" t="s">
        <v>110</v>
      </c>
      <c r="C31" s="333" t="s">
        <v>111</v>
      </c>
      <c r="D31" s="296"/>
      <c r="E31" s="86"/>
      <c r="F31" s="296"/>
      <c r="G31" s="85"/>
      <c r="H31" s="85"/>
      <c r="I31" s="85"/>
      <c r="J31" s="85"/>
      <c r="K31" s="85"/>
      <c r="L31" s="115"/>
      <c r="M31" s="296"/>
      <c r="N31" s="85"/>
      <c r="O31" s="115"/>
      <c r="P31" s="83"/>
      <c r="Q31" s="84"/>
      <c r="R31" s="86"/>
    </row>
    <row r="32" spans="2:18" x14ac:dyDescent="0.3">
      <c r="B32" s="341" t="s">
        <v>112</v>
      </c>
      <c r="C32" s="336" t="s">
        <v>113</v>
      </c>
      <c r="D32" s="301" t="s">
        <v>8</v>
      </c>
      <c r="E32" s="95"/>
      <c r="F32" s="313"/>
      <c r="G32" s="94"/>
      <c r="H32" s="94"/>
      <c r="I32" s="94"/>
      <c r="J32" s="94"/>
      <c r="K32" s="94"/>
      <c r="L32" s="314"/>
      <c r="M32" s="313"/>
      <c r="N32" s="94"/>
      <c r="O32" s="314"/>
      <c r="P32" s="92"/>
      <c r="Q32" s="93"/>
      <c r="R32" s="95"/>
    </row>
    <row r="33" spans="2:18" x14ac:dyDescent="0.3">
      <c r="B33" s="341" t="s">
        <v>114</v>
      </c>
      <c r="C33" s="336" t="s">
        <v>115</v>
      </c>
      <c r="D33" s="302"/>
      <c r="E33" s="82"/>
      <c r="F33" s="302"/>
      <c r="G33" s="81"/>
      <c r="H33" s="81"/>
      <c r="I33" s="81"/>
      <c r="J33" s="81"/>
      <c r="K33" s="81"/>
      <c r="L33" s="315"/>
      <c r="M33" s="302"/>
      <c r="N33" s="81"/>
      <c r="O33" s="315"/>
      <c r="P33" s="330"/>
      <c r="Q33" s="80"/>
      <c r="R33" s="82"/>
    </row>
    <row r="34" spans="2:18" x14ac:dyDescent="0.3">
      <c r="B34" s="341" t="s">
        <v>116</v>
      </c>
      <c r="C34" s="289" t="s">
        <v>94</v>
      </c>
      <c r="D34" s="303"/>
      <c r="E34" s="98"/>
      <c r="F34" s="316"/>
      <c r="G34" s="97"/>
      <c r="H34" s="97"/>
      <c r="I34" s="97"/>
      <c r="J34" s="97"/>
      <c r="K34" s="97"/>
      <c r="L34" s="317"/>
      <c r="M34" s="303"/>
      <c r="N34" s="96"/>
      <c r="O34" s="98"/>
      <c r="P34" s="309"/>
      <c r="Q34" s="96"/>
      <c r="R34" s="98"/>
    </row>
    <row r="35" spans="2:18" x14ac:dyDescent="0.3">
      <c r="B35" s="341" t="s">
        <v>117</v>
      </c>
      <c r="C35" s="332" t="s">
        <v>95</v>
      </c>
      <c r="D35" s="304"/>
      <c r="E35" s="99"/>
      <c r="F35" s="304"/>
      <c r="G35" s="89"/>
      <c r="H35" s="89"/>
      <c r="I35" s="89"/>
      <c r="J35" s="89"/>
      <c r="K35" s="89"/>
      <c r="L35" s="99"/>
      <c r="M35" s="304"/>
      <c r="N35" s="89"/>
      <c r="O35" s="99"/>
      <c r="P35" s="294"/>
      <c r="Q35" s="89"/>
      <c r="R35" s="99"/>
    </row>
    <row r="36" spans="2:18" x14ac:dyDescent="0.3">
      <c r="B36" s="341" t="s">
        <v>118</v>
      </c>
      <c r="C36" s="332" t="s">
        <v>119</v>
      </c>
      <c r="D36" s="297"/>
      <c r="E36" s="99"/>
      <c r="F36" s="297"/>
      <c r="G36" s="90"/>
      <c r="H36" s="90"/>
      <c r="I36" s="90"/>
      <c r="J36" s="90"/>
      <c r="K36" s="90"/>
      <c r="L36" s="312"/>
      <c r="M36" s="297"/>
      <c r="N36" s="90"/>
      <c r="O36" s="312"/>
      <c r="P36" s="83"/>
      <c r="Q36" s="84"/>
      <c r="R36" s="86"/>
    </row>
    <row r="37" spans="2:18" x14ac:dyDescent="0.3">
      <c r="B37" s="341" t="s">
        <v>120</v>
      </c>
      <c r="C37" s="332" t="s">
        <v>121</v>
      </c>
      <c r="D37" s="296"/>
      <c r="E37" s="86"/>
      <c r="F37" s="296"/>
      <c r="G37" s="85"/>
      <c r="H37" s="85"/>
      <c r="I37" s="85"/>
      <c r="J37" s="85"/>
      <c r="K37" s="85"/>
      <c r="L37" s="115"/>
      <c r="M37" s="296"/>
      <c r="N37" s="85"/>
      <c r="O37" s="115"/>
      <c r="P37" s="83"/>
      <c r="Q37" s="84"/>
      <c r="R37" s="86"/>
    </row>
    <row r="38" spans="2:18" x14ac:dyDescent="0.3">
      <c r="B38" s="341" t="s">
        <v>122</v>
      </c>
      <c r="C38" s="334" t="s">
        <v>98</v>
      </c>
      <c r="D38" s="295"/>
      <c r="E38" s="86"/>
      <c r="F38" s="295"/>
      <c r="G38" s="84"/>
      <c r="H38" s="84"/>
      <c r="I38" s="84"/>
      <c r="J38" s="84"/>
      <c r="K38" s="84"/>
      <c r="L38" s="86"/>
      <c r="M38" s="295"/>
      <c r="N38" s="84"/>
      <c r="O38" s="86"/>
      <c r="P38" s="83"/>
      <c r="Q38" s="84"/>
      <c r="R38" s="86"/>
    </row>
    <row r="39" spans="2:18" x14ac:dyDescent="0.3">
      <c r="B39" s="341" t="s">
        <v>123</v>
      </c>
      <c r="C39" s="334" t="s">
        <v>124</v>
      </c>
      <c r="D39" s="295"/>
      <c r="E39" s="86"/>
      <c r="F39" s="295"/>
      <c r="G39" s="84"/>
      <c r="H39" s="84"/>
      <c r="I39" s="84"/>
      <c r="J39" s="84"/>
      <c r="K39" s="84"/>
      <c r="L39" s="86"/>
      <c r="M39" s="295"/>
      <c r="N39" s="84"/>
      <c r="O39" s="86"/>
      <c r="P39" s="83"/>
      <c r="Q39" s="84"/>
      <c r="R39" s="86"/>
    </row>
    <row r="40" spans="2:18" x14ac:dyDescent="0.3">
      <c r="B40" s="341" t="s">
        <v>125</v>
      </c>
      <c r="C40" s="337" t="s">
        <v>126</v>
      </c>
      <c r="D40" s="296"/>
      <c r="E40" s="86"/>
      <c r="F40" s="296"/>
      <c r="G40" s="85"/>
      <c r="H40" s="85"/>
      <c r="I40" s="85"/>
      <c r="J40" s="85"/>
      <c r="K40" s="85"/>
      <c r="L40" s="115"/>
      <c r="M40" s="296"/>
      <c r="N40" s="85"/>
      <c r="O40" s="115"/>
      <c r="P40" s="83"/>
      <c r="Q40" s="84"/>
      <c r="R40" s="86"/>
    </row>
    <row r="41" spans="2:18" x14ac:dyDescent="0.3">
      <c r="B41" s="341" t="s">
        <v>127</v>
      </c>
      <c r="C41" s="334" t="s">
        <v>98</v>
      </c>
      <c r="D41" s="295"/>
      <c r="E41" s="86"/>
      <c r="F41" s="295"/>
      <c r="G41" s="84"/>
      <c r="H41" s="84"/>
      <c r="I41" s="84"/>
      <c r="J41" s="84"/>
      <c r="K41" s="84"/>
      <c r="L41" s="86"/>
      <c r="M41" s="295"/>
      <c r="N41" s="84"/>
      <c r="O41" s="86"/>
      <c r="P41" s="83"/>
      <c r="Q41" s="84"/>
      <c r="R41" s="86"/>
    </row>
    <row r="42" spans="2:18" x14ac:dyDescent="0.3">
      <c r="B42" s="341" t="s">
        <v>128</v>
      </c>
      <c r="C42" s="334" t="s">
        <v>129</v>
      </c>
      <c r="D42" s="295"/>
      <c r="E42" s="86"/>
      <c r="F42" s="296"/>
      <c r="G42" s="85"/>
      <c r="H42" s="85"/>
      <c r="I42" s="85"/>
      <c r="J42" s="85"/>
      <c r="K42" s="85"/>
      <c r="L42" s="115"/>
      <c r="M42" s="296"/>
      <c r="N42" s="85"/>
      <c r="O42" s="115"/>
      <c r="P42" s="83"/>
      <c r="Q42" s="84"/>
      <c r="R42" s="86"/>
    </row>
    <row r="43" spans="2:18" x14ac:dyDescent="0.3">
      <c r="B43" s="341" t="s">
        <v>130</v>
      </c>
      <c r="C43" s="334" t="s">
        <v>131</v>
      </c>
      <c r="D43" s="295"/>
      <c r="E43" s="86"/>
      <c r="F43" s="295"/>
      <c r="G43" s="84"/>
      <c r="H43" s="84"/>
      <c r="I43" s="84"/>
      <c r="J43" s="84"/>
      <c r="K43" s="84"/>
      <c r="L43" s="86"/>
      <c r="M43" s="295"/>
      <c r="N43" s="84"/>
      <c r="O43" s="86"/>
      <c r="P43" s="83"/>
      <c r="Q43" s="84"/>
      <c r="R43" s="86"/>
    </row>
    <row r="44" spans="2:18" x14ac:dyDescent="0.3">
      <c r="B44" s="341" t="s">
        <v>132</v>
      </c>
      <c r="C44" s="337" t="s">
        <v>133</v>
      </c>
      <c r="D44" s="296"/>
      <c r="E44" s="86"/>
      <c r="F44" s="296"/>
      <c r="G44" s="85"/>
      <c r="H44" s="85"/>
      <c r="I44" s="85"/>
      <c r="J44" s="85"/>
      <c r="K44" s="85"/>
      <c r="L44" s="115"/>
      <c r="M44" s="296"/>
      <c r="N44" s="85"/>
      <c r="O44" s="115"/>
      <c r="P44" s="83"/>
      <c r="Q44" s="84"/>
      <c r="R44" s="86"/>
    </row>
    <row r="45" spans="2:18" x14ac:dyDescent="0.3">
      <c r="B45" s="341" t="s">
        <v>134</v>
      </c>
      <c r="C45" s="334" t="s">
        <v>98</v>
      </c>
      <c r="D45" s="295"/>
      <c r="E45" s="86"/>
      <c r="F45" s="295"/>
      <c r="G45" s="84"/>
      <c r="H45" s="84"/>
      <c r="I45" s="84"/>
      <c r="J45" s="84"/>
      <c r="K45" s="84"/>
      <c r="L45" s="86"/>
      <c r="M45" s="295"/>
      <c r="N45" s="84"/>
      <c r="O45" s="86"/>
      <c r="P45" s="83"/>
      <c r="Q45" s="84"/>
      <c r="R45" s="86"/>
    </row>
    <row r="46" spans="2:18" x14ac:dyDescent="0.3">
      <c r="B46" s="341" t="s">
        <v>135</v>
      </c>
      <c r="C46" s="334" t="s">
        <v>129</v>
      </c>
      <c r="D46" s="295"/>
      <c r="E46" s="86"/>
      <c r="F46" s="296"/>
      <c r="G46" s="85"/>
      <c r="H46" s="85"/>
      <c r="I46" s="85"/>
      <c r="J46" s="85"/>
      <c r="K46" s="85"/>
      <c r="L46" s="115"/>
      <c r="M46" s="296"/>
      <c r="N46" s="85"/>
      <c r="O46" s="115"/>
      <c r="P46" s="83"/>
      <c r="Q46" s="84"/>
      <c r="R46" s="86"/>
    </row>
    <row r="47" spans="2:18" x14ac:dyDescent="0.3">
      <c r="B47" s="341" t="s">
        <v>136</v>
      </c>
      <c r="C47" s="334" t="s">
        <v>131</v>
      </c>
      <c r="D47" s="295"/>
      <c r="E47" s="86"/>
      <c r="F47" s="295"/>
      <c r="G47" s="84"/>
      <c r="H47" s="84"/>
      <c r="I47" s="84"/>
      <c r="J47" s="84"/>
      <c r="K47" s="84"/>
      <c r="L47" s="86"/>
      <c r="M47" s="295"/>
      <c r="N47" s="84"/>
      <c r="O47" s="86"/>
      <c r="P47" s="83"/>
      <c r="Q47" s="84"/>
      <c r="R47" s="86"/>
    </row>
    <row r="48" spans="2:18" x14ac:dyDescent="0.3">
      <c r="B48" s="341" t="s">
        <v>137</v>
      </c>
      <c r="C48" s="337" t="s">
        <v>138</v>
      </c>
      <c r="D48" s="296"/>
      <c r="E48" s="86"/>
      <c r="F48" s="296"/>
      <c r="G48" s="85"/>
      <c r="H48" s="85"/>
      <c r="I48" s="85"/>
      <c r="J48" s="85"/>
      <c r="K48" s="85"/>
      <c r="L48" s="115"/>
      <c r="M48" s="296"/>
      <c r="N48" s="85"/>
      <c r="O48" s="115"/>
      <c r="P48" s="83"/>
      <c r="Q48" s="84"/>
      <c r="R48" s="86"/>
    </row>
    <row r="49" spans="2:18" x14ac:dyDescent="0.3">
      <c r="B49" s="341" t="s">
        <v>139</v>
      </c>
      <c r="C49" s="334" t="s">
        <v>98</v>
      </c>
      <c r="D49" s="295"/>
      <c r="E49" s="86"/>
      <c r="F49" s="295"/>
      <c r="G49" s="84"/>
      <c r="H49" s="84"/>
      <c r="I49" s="84"/>
      <c r="J49" s="84"/>
      <c r="K49" s="84"/>
      <c r="L49" s="86"/>
      <c r="M49" s="295"/>
      <c r="N49" s="84"/>
      <c r="O49" s="86"/>
      <c r="P49" s="83"/>
      <c r="Q49" s="84"/>
      <c r="R49" s="86"/>
    </row>
    <row r="50" spans="2:18" x14ac:dyDescent="0.3">
      <c r="B50" s="341" t="s">
        <v>140</v>
      </c>
      <c r="C50" s="334" t="s">
        <v>129</v>
      </c>
      <c r="D50" s="295"/>
      <c r="E50" s="86"/>
      <c r="F50" s="296"/>
      <c r="G50" s="85"/>
      <c r="H50" s="85"/>
      <c r="I50" s="85"/>
      <c r="J50" s="85"/>
      <c r="K50" s="85"/>
      <c r="L50" s="115"/>
      <c r="M50" s="296"/>
      <c r="N50" s="85"/>
      <c r="O50" s="115"/>
      <c r="P50" s="83"/>
      <c r="Q50" s="84"/>
      <c r="R50" s="86"/>
    </row>
    <row r="51" spans="2:18" x14ac:dyDescent="0.3">
      <c r="B51" s="341" t="s">
        <v>141</v>
      </c>
      <c r="C51" s="334" t="s">
        <v>131</v>
      </c>
      <c r="D51" s="295"/>
      <c r="E51" s="86"/>
      <c r="F51" s="295"/>
      <c r="G51" s="84"/>
      <c r="H51" s="84"/>
      <c r="I51" s="84"/>
      <c r="J51" s="84"/>
      <c r="K51" s="84"/>
      <c r="L51" s="86"/>
      <c r="M51" s="295"/>
      <c r="N51" s="84"/>
      <c r="O51" s="86"/>
      <c r="P51" s="83"/>
      <c r="Q51" s="84"/>
      <c r="R51" s="86"/>
    </row>
    <row r="52" spans="2:18" x14ac:dyDescent="0.3">
      <c r="B52" s="341" t="s">
        <v>142</v>
      </c>
      <c r="C52" s="337" t="s">
        <v>143</v>
      </c>
      <c r="D52" s="296"/>
      <c r="E52" s="86"/>
      <c r="F52" s="296"/>
      <c r="G52" s="85"/>
      <c r="H52" s="85"/>
      <c r="I52" s="85"/>
      <c r="J52" s="85"/>
      <c r="K52" s="85"/>
      <c r="L52" s="115"/>
      <c r="M52" s="296"/>
      <c r="N52" s="85"/>
      <c r="O52" s="115"/>
      <c r="P52" s="83"/>
      <c r="Q52" s="84"/>
      <c r="R52" s="86"/>
    </row>
    <row r="53" spans="2:18" x14ac:dyDescent="0.3">
      <c r="B53" s="341" t="s">
        <v>144</v>
      </c>
      <c r="C53" s="334" t="s">
        <v>98</v>
      </c>
      <c r="D53" s="295"/>
      <c r="E53" s="86"/>
      <c r="F53" s="295"/>
      <c r="G53" s="84"/>
      <c r="H53" s="84"/>
      <c r="I53" s="84"/>
      <c r="J53" s="84"/>
      <c r="K53" s="84"/>
      <c r="L53" s="86"/>
      <c r="M53" s="295"/>
      <c r="N53" s="84"/>
      <c r="O53" s="86"/>
      <c r="P53" s="83"/>
      <c r="Q53" s="84"/>
      <c r="R53" s="86"/>
    </row>
    <row r="54" spans="2:18" ht="25.2" x14ac:dyDescent="0.3">
      <c r="B54" s="341" t="s">
        <v>145</v>
      </c>
      <c r="C54" s="334" t="s">
        <v>146</v>
      </c>
      <c r="D54" s="295"/>
      <c r="E54" s="86"/>
      <c r="F54" s="296"/>
      <c r="G54" s="85"/>
      <c r="H54" s="85"/>
      <c r="I54" s="85"/>
      <c r="J54" s="85"/>
      <c r="K54" s="85"/>
      <c r="L54" s="115"/>
      <c r="M54" s="296"/>
      <c r="N54" s="85"/>
      <c r="O54" s="115"/>
      <c r="P54" s="83"/>
      <c r="Q54" s="84"/>
      <c r="R54" s="86"/>
    </row>
    <row r="55" spans="2:18" x14ac:dyDescent="0.3">
      <c r="B55" s="341" t="s">
        <v>147</v>
      </c>
      <c r="C55" s="337" t="s">
        <v>148</v>
      </c>
      <c r="D55" s="296"/>
      <c r="E55" s="86"/>
      <c r="F55" s="296"/>
      <c r="G55" s="85"/>
      <c r="H55" s="85"/>
      <c r="I55" s="85"/>
      <c r="J55" s="85"/>
      <c r="K55" s="85"/>
      <c r="L55" s="115"/>
      <c r="M55" s="296"/>
      <c r="N55" s="85"/>
      <c r="O55" s="115"/>
      <c r="P55" s="83"/>
      <c r="Q55" s="84"/>
      <c r="R55" s="86"/>
    </row>
    <row r="56" spans="2:18" x14ac:dyDescent="0.3">
      <c r="B56" s="341" t="s">
        <v>149</v>
      </c>
      <c r="C56" s="334" t="s">
        <v>98</v>
      </c>
      <c r="D56" s="295"/>
      <c r="E56" s="86"/>
      <c r="F56" s="295"/>
      <c r="G56" s="84"/>
      <c r="H56" s="84"/>
      <c r="I56" s="84"/>
      <c r="J56" s="84"/>
      <c r="K56" s="84"/>
      <c r="L56" s="86"/>
      <c r="M56" s="295"/>
      <c r="N56" s="84"/>
      <c r="O56" s="86"/>
      <c r="P56" s="83"/>
      <c r="Q56" s="84"/>
      <c r="R56" s="86"/>
    </row>
    <row r="57" spans="2:18" x14ac:dyDescent="0.3">
      <c r="B57" s="341" t="s">
        <v>150</v>
      </c>
      <c r="C57" s="338" t="s">
        <v>100</v>
      </c>
      <c r="D57" s="295"/>
      <c r="E57" s="86"/>
      <c r="F57" s="296"/>
      <c r="G57" s="85"/>
      <c r="H57" s="85"/>
      <c r="I57" s="85"/>
      <c r="J57" s="85"/>
      <c r="K57" s="85"/>
      <c r="L57" s="115"/>
      <c r="M57" s="296"/>
      <c r="N57" s="85"/>
      <c r="O57" s="115"/>
      <c r="P57" s="83"/>
      <c r="Q57" s="84"/>
      <c r="R57" s="86"/>
    </row>
    <row r="58" spans="2:18" x14ac:dyDescent="0.3">
      <c r="B58" s="341" t="s">
        <v>151</v>
      </c>
      <c r="C58" s="338" t="s">
        <v>102</v>
      </c>
      <c r="D58" s="295"/>
      <c r="E58" s="86"/>
      <c r="F58" s="296"/>
      <c r="G58" s="85"/>
      <c r="H58" s="85"/>
      <c r="I58" s="85"/>
      <c r="J58" s="85"/>
      <c r="K58" s="85"/>
      <c r="L58" s="115"/>
      <c r="M58" s="296"/>
      <c r="N58" s="85"/>
      <c r="O58" s="115"/>
      <c r="P58" s="83"/>
      <c r="Q58" s="84"/>
      <c r="R58" s="86"/>
    </row>
    <row r="59" spans="2:18" x14ac:dyDescent="0.3">
      <c r="B59" s="341" t="s">
        <v>152</v>
      </c>
      <c r="C59" s="338" t="s">
        <v>103</v>
      </c>
      <c r="D59" s="295"/>
      <c r="E59" s="86"/>
      <c r="F59" s="296"/>
      <c r="G59" s="85"/>
      <c r="H59" s="85"/>
      <c r="I59" s="85"/>
      <c r="J59" s="85"/>
      <c r="K59" s="85"/>
      <c r="L59" s="115"/>
      <c r="M59" s="296"/>
      <c r="N59" s="85"/>
      <c r="O59" s="115"/>
      <c r="P59" s="83"/>
      <c r="Q59" s="84"/>
      <c r="R59" s="86"/>
    </row>
    <row r="60" spans="2:18" ht="15" customHeight="1" x14ac:dyDescent="0.3">
      <c r="B60" s="341" t="s">
        <v>153</v>
      </c>
      <c r="C60" s="337" t="s">
        <v>105</v>
      </c>
      <c r="D60" s="296"/>
      <c r="E60" s="86"/>
      <c r="F60" s="296"/>
      <c r="G60" s="85"/>
      <c r="H60" s="85"/>
      <c r="I60" s="85"/>
      <c r="J60" s="85"/>
      <c r="K60" s="85"/>
      <c r="L60" s="115"/>
      <c r="M60" s="296"/>
      <c r="N60" s="85"/>
      <c r="O60" s="115"/>
      <c r="P60" s="83"/>
      <c r="Q60" s="84"/>
      <c r="R60" s="86"/>
    </row>
    <row r="61" spans="2:18" x14ac:dyDescent="0.3">
      <c r="B61" s="341" t="s">
        <v>154</v>
      </c>
      <c r="C61" s="334" t="s">
        <v>98</v>
      </c>
      <c r="D61" s="299"/>
      <c r="E61" s="300"/>
      <c r="F61" s="299"/>
      <c r="G61" s="91"/>
      <c r="H61" s="91"/>
      <c r="I61" s="91"/>
      <c r="J61" s="91"/>
      <c r="K61" s="91"/>
      <c r="L61" s="300"/>
      <c r="M61" s="299"/>
      <c r="N61" s="91"/>
      <c r="O61" s="300"/>
      <c r="P61" s="83"/>
      <c r="Q61" s="84"/>
      <c r="R61" s="86"/>
    </row>
    <row r="62" spans="2:18" x14ac:dyDescent="0.3">
      <c r="B62" s="341" t="s">
        <v>155</v>
      </c>
      <c r="C62" s="334" t="s">
        <v>107</v>
      </c>
      <c r="D62" s="295"/>
      <c r="E62" s="86"/>
      <c r="F62" s="296"/>
      <c r="G62" s="85"/>
      <c r="H62" s="85"/>
      <c r="I62" s="85"/>
      <c r="J62" s="85"/>
      <c r="K62" s="85"/>
      <c r="L62" s="115"/>
      <c r="M62" s="296"/>
      <c r="N62" s="85"/>
      <c r="O62" s="115"/>
      <c r="P62" s="83"/>
      <c r="Q62" s="84"/>
      <c r="R62" s="86"/>
    </row>
    <row r="63" spans="2:18" x14ac:dyDescent="0.3">
      <c r="B63" s="341" t="s">
        <v>156</v>
      </c>
      <c r="C63" s="334" t="s">
        <v>157</v>
      </c>
      <c r="D63" s="295"/>
      <c r="E63" s="86"/>
      <c r="F63" s="296"/>
      <c r="G63" s="85"/>
      <c r="H63" s="85"/>
      <c r="I63" s="85"/>
      <c r="J63" s="85"/>
      <c r="K63" s="85"/>
      <c r="L63" s="115"/>
      <c r="M63" s="296"/>
      <c r="N63" s="85"/>
      <c r="O63" s="115"/>
      <c r="P63" s="83"/>
      <c r="Q63" s="84"/>
      <c r="R63" s="86"/>
    </row>
    <row r="64" spans="2:18" x14ac:dyDescent="0.3">
      <c r="B64" s="341" t="s">
        <v>158</v>
      </c>
      <c r="C64" s="337" t="s">
        <v>111</v>
      </c>
      <c r="D64" s="305"/>
      <c r="E64" s="103"/>
      <c r="F64" s="305"/>
      <c r="G64" s="102"/>
      <c r="H64" s="102"/>
      <c r="I64" s="102"/>
      <c r="J64" s="102"/>
      <c r="K64" s="102"/>
      <c r="L64" s="318"/>
      <c r="M64" s="305"/>
      <c r="N64" s="102"/>
      <c r="O64" s="318"/>
      <c r="P64" s="331"/>
      <c r="Q64" s="101"/>
      <c r="R64" s="103"/>
    </row>
    <row r="65" spans="2:18" x14ac:dyDescent="0.3">
      <c r="B65" s="341" t="s">
        <v>159</v>
      </c>
      <c r="C65" s="336" t="s">
        <v>160</v>
      </c>
      <c r="D65" s="306"/>
      <c r="E65" s="107"/>
      <c r="F65" s="319"/>
      <c r="G65" s="106"/>
      <c r="H65" s="106"/>
      <c r="I65" s="106"/>
      <c r="J65" s="106"/>
      <c r="K65" s="106"/>
      <c r="L65" s="320"/>
      <c r="M65" s="319"/>
      <c r="N65" s="106"/>
      <c r="O65" s="320"/>
      <c r="P65" s="104"/>
      <c r="Q65" s="105"/>
      <c r="R65" s="107"/>
    </row>
    <row r="66" spans="2:18" ht="15" thickBot="1" x14ac:dyDescent="0.35">
      <c r="B66" s="342" t="s">
        <v>161</v>
      </c>
      <c r="C66" s="339" t="s">
        <v>162</v>
      </c>
      <c r="D66" s="307"/>
      <c r="E66" s="308"/>
      <c r="F66" s="307"/>
      <c r="G66" s="321"/>
      <c r="H66" s="321"/>
      <c r="I66" s="321"/>
      <c r="J66" s="321"/>
      <c r="K66" s="321"/>
      <c r="L66" s="322"/>
      <c r="M66" s="307"/>
      <c r="N66" s="321"/>
      <c r="O66" s="322"/>
      <c r="P66" s="108"/>
      <c r="Q66" s="109"/>
      <c r="R66" s="110"/>
    </row>
    <row r="67" spans="2:18" ht="14.4" customHeight="1" thickBot="1" x14ac:dyDescent="0.35">
      <c r="B67" s="622" t="s">
        <v>163</v>
      </c>
      <c r="C67" s="623"/>
      <c r="D67" s="623"/>
      <c r="E67" s="623"/>
      <c r="F67" s="623"/>
      <c r="G67" s="623"/>
      <c r="H67" s="623"/>
      <c r="I67" s="623"/>
      <c r="J67" s="623"/>
      <c r="K67" s="623"/>
      <c r="L67" s="623"/>
      <c r="M67" s="623"/>
      <c r="N67" s="623"/>
      <c r="O67" s="623"/>
      <c r="P67" s="623"/>
      <c r="Q67" s="623"/>
      <c r="R67" s="624"/>
    </row>
    <row r="68" spans="2:18" x14ac:dyDescent="0.3">
      <c r="B68" s="285" t="s">
        <v>164</v>
      </c>
      <c r="C68" s="286" t="s">
        <v>165</v>
      </c>
      <c r="D68" s="269"/>
      <c r="E68" s="270"/>
      <c r="F68" s="323"/>
      <c r="G68" s="324"/>
      <c r="H68" s="324"/>
      <c r="I68" s="324"/>
      <c r="J68" s="324"/>
      <c r="K68" s="324"/>
      <c r="L68" s="325"/>
      <c r="M68" s="326"/>
      <c r="N68" s="326"/>
      <c r="O68" s="326"/>
      <c r="P68" s="271"/>
      <c r="Q68" s="271"/>
      <c r="R68" s="270"/>
    </row>
    <row r="69" spans="2:18" x14ac:dyDescent="0.3">
      <c r="B69" s="79" t="s">
        <v>166</v>
      </c>
      <c r="C69" s="175" t="s">
        <v>167</v>
      </c>
      <c r="D69" s="272"/>
      <c r="E69" s="273"/>
      <c r="F69" s="305"/>
      <c r="G69" s="102"/>
      <c r="H69" s="102"/>
      <c r="I69" s="102"/>
      <c r="J69" s="102"/>
      <c r="K69" s="102"/>
      <c r="L69" s="318"/>
      <c r="M69" s="100"/>
      <c r="N69" s="100"/>
      <c r="O69" s="100"/>
      <c r="P69" s="284"/>
      <c r="Q69" s="284"/>
      <c r="R69" s="274"/>
    </row>
    <row r="70" spans="2:18" ht="15" thickBot="1" x14ac:dyDescent="0.35">
      <c r="B70" s="116" t="s">
        <v>168</v>
      </c>
      <c r="C70" s="287" t="s">
        <v>169</v>
      </c>
      <c r="D70" s="275"/>
      <c r="E70" s="276"/>
      <c r="F70" s="305"/>
      <c r="G70" s="102"/>
      <c r="H70" s="102"/>
      <c r="I70" s="102"/>
      <c r="J70" s="102"/>
      <c r="K70" s="102"/>
      <c r="L70" s="318"/>
      <c r="M70" s="100"/>
      <c r="N70" s="100"/>
      <c r="O70" s="100"/>
      <c r="P70" s="277"/>
      <c r="Q70" s="277"/>
      <c r="R70" s="278"/>
    </row>
    <row r="71" spans="2:18" x14ac:dyDescent="0.3">
      <c r="B71" s="285" t="s">
        <v>170</v>
      </c>
      <c r="C71" s="288" t="s">
        <v>171</v>
      </c>
      <c r="D71" s="280"/>
      <c r="E71" s="284"/>
      <c r="F71" s="279"/>
      <c r="G71" s="279"/>
      <c r="H71" s="279"/>
      <c r="I71" s="279"/>
      <c r="J71" s="279"/>
      <c r="K71" s="279"/>
      <c r="L71" s="279"/>
      <c r="M71" s="279"/>
      <c r="N71" s="279"/>
      <c r="O71" s="279"/>
      <c r="P71" s="100"/>
      <c r="Q71" s="100"/>
      <c r="R71" s="327"/>
    </row>
    <row r="72" spans="2:18" x14ac:dyDescent="0.3">
      <c r="B72" s="79" t="s">
        <v>172</v>
      </c>
      <c r="C72" s="289" t="s">
        <v>104</v>
      </c>
      <c r="D72" s="280"/>
      <c r="E72" s="284"/>
      <c r="F72" s="284"/>
      <c r="G72" s="284"/>
      <c r="H72" s="284"/>
      <c r="I72" s="284"/>
      <c r="J72" s="284"/>
      <c r="K72" s="284"/>
      <c r="L72" s="284"/>
      <c r="M72" s="284"/>
      <c r="N72" s="284"/>
      <c r="O72" s="284"/>
      <c r="P72" s="100"/>
      <c r="Q72" s="100"/>
      <c r="R72" s="327"/>
    </row>
    <row r="73" spans="2:18" x14ac:dyDescent="0.3">
      <c r="B73" s="79" t="s">
        <v>173</v>
      </c>
      <c r="C73" s="289" t="s">
        <v>174</v>
      </c>
      <c r="D73" s="280"/>
      <c r="E73" s="284"/>
      <c r="F73" s="284"/>
      <c r="G73" s="284"/>
      <c r="H73" s="284"/>
      <c r="I73" s="284"/>
      <c r="J73" s="284"/>
      <c r="K73" s="284"/>
      <c r="L73" s="284"/>
      <c r="M73" s="284"/>
      <c r="N73" s="284"/>
      <c r="O73" s="284"/>
      <c r="P73" s="100"/>
      <c r="Q73" s="100"/>
      <c r="R73" s="327"/>
    </row>
    <row r="74" spans="2:18" ht="15" thickBot="1" x14ac:dyDescent="0.35">
      <c r="B74" s="116" t="s">
        <v>175</v>
      </c>
      <c r="C74" s="290" t="s">
        <v>111</v>
      </c>
      <c r="D74" s="280"/>
      <c r="E74" s="284"/>
      <c r="F74" s="284"/>
      <c r="G74" s="284"/>
      <c r="H74" s="284"/>
      <c r="I74" s="284"/>
      <c r="J74" s="284"/>
      <c r="K74" s="284"/>
      <c r="L74" s="284"/>
      <c r="M74" s="284"/>
      <c r="N74" s="284"/>
      <c r="O74" s="284"/>
      <c r="P74" s="100"/>
      <c r="Q74" s="100"/>
      <c r="R74" s="327"/>
    </row>
    <row r="75" spans="2:18" x14ac:dyDescent="0.3">
      <c r="B75" s="282" t="s">
        <v>176</v>
      </c>
      <c r="C75" s="283" t="s">
        <v>177</v>
      </c>
      <c r="D75" s="280"/>
      <c r="E75" s="284"/>
      <c r="F75" s="284"/>
      <c r="G75" s="284"/>
      <c r="H75" s="284"/>
      <c r="I75" s="284"/>
      <c r="J75" s="284"/>
      <c r="K75" s="284"/>
      <c r="L75" s="284"/>
      <c r="M75" s="284"/>
      <c r="N75" s="284"/>
      <c r="O75" s="284"/>
      <c r="P75" s="100"/>
      <c r="Q75" s="100"/>
      <c r="R75" s="327"/>
    </row>
    <row r="76" spans="2:18" x14ac:dyDescent="0.3">
      <c r="B76" s="79" t="s">
        <v>178</v>
      </c>
      <c r="C76" s="176" t="s">
        <v>121</v>
      </c>
      <c r="D76" s="280"/>
      <c r="E76" s="284"/>
      <c r="F76" s="284"/>
      <c r="G76" s="284"/>
      <c r="H76" s="284"/>
      <c r="I76" s="284"/>
      <c r="J76" s="284"/>
      <c r="K76" s="284"/>
      <c r="L76" s="284"/>
      <c r="M76" s="284"/>
      <c r="N76" s="284"/>
      <c r="O76" s="284"/>
      <c r="P76" s="100"/>
      <c r="Q76" s="100"/>
      <c r="R76" s="327"/>
    </row>
    <row r="77" spans="2:18" x14ac:dyDescent="0.3">
      <c r="B77" s="79" t="s">
        <v>179</v>
      </c>
      <c r="C77" s="177" t="s">
        <v>174</v>
      </c>
      <c r="D77" s="280"/>
      <c r="E77" s="284"/>
      <c r="F77" s="284"/>
      <c r="G77" s="284"/>
      <c r="H77" s="284"/>
      <c r="I77" s="284"/>
      <c r="J77" s="284"/>
      <c r="K77" s="284"/>
      <c r="L77" s="284"/>
      <c r="M77" s="284"/>
      <c r="N77" s="284"/>
      <c r="O77" s="284"/>
      <c r="P77" s="100"/>
      <c r="Q77" s="100"/>
      <c r="R77" s="327"/>
    </row>
    <row r="78" spans="2:18" ht="15" thickBot="1" x14ac:dyDescent="0.35">
      <c r="B78" s="116" t="s">
        <v>180</v>
      </c>
      <c r="C78" s="178" t="s">
        <v>111</v>
      </c>
      <c r="D78" s="281"/>
      <c r="E78" s="277"/>
      <c r="F78" s="277"/>
      <c r="G78" s="277"/>
      <c r="H78" s="277"/>
      <c r="I78" s="277"/>
      <c r="J78" s="277"/>
      <c r="K78" s="277"/>
      <c r="L78" s="277"/>
      <c r="M78" s="277"/>
      <c r="N78" s="277"/>
      <c r="O78" s="277"/>
      <c r="P78" s="328"/>
      <c r="Q78" s="328"/>
      <c r="R78" s="329"/>
    </row>
  </sheetData>
  <sheetProtection algorithmName="SHA-512" hashValue="t7kxuKRlbdxAEuzdRoNqNDhmBzph3TvdeLyRoZODDPh8zGArDJFaw7v96oLVjvRDEuxqulRuoAZnArCPN+d/NQ==" saltValue="thXpVFtuU5O8IkN1MrU+dA==" spinCount="100000" sheet="1" objects="1" scenarios="1"/>
  <mergeCells count="8">
    <mergeCell ref="B67:R67"/>
    <mergeCell ref="D4:F4"/>
    <mergeCell ref="B7:C9"/>
    <mergeCell ref="D7:D8"/>
    <mergeCell ref="E7:E8"/>
    <mergeCell ref="F7:L7"/>
    <mergeCell ref="M7:O7"/>
    <mergeCell ref="P7:R7"/>
  </mergeCells>
  <pageMargins left="0.25" right="0.25" top="0.75" bottom="0.75" header="0.3" footer="0.3"/>
  <pageSetup paperSize="9"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4B1F-6F6E-47B1-85B4-7D8B1A8D2CD1}">
  <sheetPr codeName="Sheet8">
    <tabColor theme="4" tint="0.59999389629810485"/>
    <pageSetUpPr fitToPage="1"/>
  </sheetPr>
  <dimension ref="B1:AP64"/>
  <sheetViews>
    <sheetView showGridLines="0" zoomScale="70" zoomScaleNormal="70" workbookViewId="0"/>
  </sheetViews>
  <sheetFormatPr defaultColWidth="8.88671875" defaultRowHeight="14.4" x14ac:dyDescent="0.3"/>
  <cols>
    <col min="1" max="1" width="3.109375" style="70" customWidth="1"/>
    <col min="2" max="2" width="8.88671875" style="70"/>
    <col min="3" max="3" width="99.5546875" style="70" customWidth="1"/>
    <col min="4" max="4" width="8.88671875" style="70" customWidth="1"/>
    <col min="5" max="6" width="10.6640625" style="70" customWidth="1"/>
    <col min="7" max="7" width="16.5546875" style="70" customWidth="1"/>
    <col min="8" max="9" width="14.88671875" style="70" customWidth="1"/>
    <col min="10" max="28" width="8.88671875" style="70" customWidth="1"/>
    <col min="29" max="29" width="8.88671875" style="70"/>
    <col min="30" max="31" width="10.6640625" style="70" customWidth="1"/>
    <col min="32" max="32" width="16.5546875" style="70" customWidth="1"/>
    <col min="33" max="34" width="14.5546875" style="70" customWidth="1"/>
    <col min="35" max="16384" width="8.88671875" style="70"/>
  </cols>
  <sheetData>
    <row r="1" spans="2:42" ht="11.25" customHeight="1" thickBot="1" x14ac:dyDescent="0.35"/>
    <row r="2" spans="2:42" ht="16.8" thickBot="1" x14ac:dyDescent="0.35">
      <c r="B2" s="657" t="s">
        <v>183</v>
      </c>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c r="AK2" s="658"/>
      <c r="AL2" s="658"/>
      <c r="AM2" s="658"/>
      <c r="AN2" s="658"/>
      <c r="AO2" s="658"/>
      <c r="AP2" s="659"/>
    </row>
    <row r="3" spans="2:42" x14ac:dyDescent="0.3">
      <c r="B3" s="71"/>
      <c r="C3" s="72"/>
      <c r="D3" s="119"/>
      <c r="E3" s="119"/>
      <c r="F3" s="119"/>
      <c r="G3" s="119"/>
      <c r="H3" s="119"/>
      <c r="I3" s="72"/>
      <c r="J3" s="119"/>
      <c r="K3" s="119"/>
      <c r="L3" s="119"/>
      <c r="M3" s="119"/>
      <c r="N3" s="72"/>
      <c r="O3" s="72"/>
      <c r="P3" s="72"/>
      <c r="Q3" s="72"/>
      <c r="R3" s="72"/>
      <c r="S3" s="72"/>
      <c r="T3" s="72"/>
      <c r="U3" s="72"/>
      <c r="V3" s="72"/>
      <c r="W3" s="72"/>
      <c r="X3" s="72"/>
      <c r="Y3" s="72"/>
      <c r="Z3" s="72"/>
      <c r="AA3" s="72"/>
      <c r="AB3" s="72"/>
      <c r="AC3" s="119"/>
      <c r="AD3" s="119"/>
      <c r="AE3" s="119"/>
      <c r="AF3" s="119"/>
      <c r="AG3" s="119"/>
      <c r="AH3" s="72"/>
      <c r="AI3" s="119"/>
      <c r="AJ3" s="119"/>
      <c r="AK3" s="119"/>
      <c r="AL3" s="119"/>
      <c r="AM3" s="72"/>
      <c r="AN3" s="72"/>
      <c r="AO3" s="72"/>
      <c r="AP3" s="72"/>
    </row>
    <row r="4" spans="2:42" x14ac:dyDescent="0.3">
      <c r="B4" s="71"/>
      <c r="C4" s="358" t="s">
        <v>184</v>
      </c>
      <c r="D4" s="120"/>
      <c r="E4" s="78"/>
      <c r="F4" s="78"/>
      <c r="G4" s="119"/>
      <c r="H4" s="119"/>
      <c r="I4" s="72"/>
      <c r="J4" s="78"/>
      <c r="K4" s="78"/>
      <c r="L4" s="119"/>
      <c r="M4" s="119"/>
      <c r="N4" s="72"/>
      <c r="O4" s="72"/>
      <c r="P4" s="72"/>
      <c r="Q4" s="72"/>
      <c r="R4" s="72"/>
      <c r="S4" s="72"/>
      <c r="T4" s="72"/>
      <c r="U4" s="72"/>
      <c r="V4" s="72"/>
      <c r="W4" s="72"/>
      <c r="X4" s="72"/>
      <c r="Y4" s="72"/>
      <c r="Z4" s="72"/>
      <c r="AA4" s="72"/>
      <c r="AB4" s="72"/>
      <c r="AC4" s="78"/>
      <c r="AD4" s="78"/>
      <c r="AE4" s="78"/>
      <c r="AF4" s="119"/>
      <c r="AG4" s="119"/>
      <c r="AH4" s="72"/>
      <c r="AI4" s="78"/>
      <c r="AJ4" s="78"/>
      <c r="AK4" s="119"/>
      <c r="AL4" s="119"/>
      <c r="AM4" s="72"/>
      <c r="AN4" s="72"/>
      <c r="AO4" s="72"/>
      <c r="AP4" s="72"/>
    </row>
    <row r="5" spans="2:42" hidden="1" x14ac:dyDescent="0.3">
      <c r="B5" s="71"/>
      <c r="C5" s="75" t="s">
        <v>10</v>
      </c>
      <c r="D5" s="121"/>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row>
    <row r="6" spans="2:42" ht="15" thickBot="1" x14ac:dyDescent="0.35">
      <c r="B6" s="71"/>
      <c r="C6" s="12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row>
    <row r="7" spans="2:42" ht="15" customHeight="1" thickBot="1" x14ac:dyDescent="0.35">
      <c r="B7" s="660"/>
      <c r="C7" s="661"/>
      <c r="D7" s="666" t="s">
        <v>185</v>
      </c>
      <c r="E7" s="666"/>
      <c r="F7" s="666"/>
      <c r="G7" s="666"/>
      <c r="H7" s="666"/>
      <c r="I7" s="666"/>
      <c r="J7" s="666"/>
      <c r="K7" s="666"/>
      <c r="L7" s="666"/>
      <c r="M7" s="666"/>
      <c r="N7" s="666"/>
      <c r="O7" s="666"/>
      <c r="P7" s="666"/>
      <c r="Q7" s="666"/>
      <c r="R7" s="666"/>
      <c r="S7" s="666"/>
      <c r="T7" s="666"/>
      <c r="U7" s="666"/>
      <c r="V7" s="666"/>
      <c r="W7" s="666"/>
      <c r="X7" s="666"/>
      <c r="Y7" s="666"/>
      <c r="Z7" s="666"/>
      <c r="AA7" s="666"/>
      <c r="AB7" s="666"/>
      <c r="AC7" s="648" t="s">
        <v>186</v>
      </c>
      <c r="AD7" s="667"/>
      <c r="AE7" s="667"/>
      <c r="AF7" s="667"/>
      <c r="AG7" s="667"/>
      <c r="AH7" s="667"/>
      <c r="AI7" s="667"/>
      <c r="AJ7" s="667"/>
      <c r="AK7" s="667"/>
      <c r="AL7" s="667"/>
      <c r="AM7" s="667"/>
      <c r="AN7" s="667"/>
      <c r="AO7" s="667"/>
      <c r="AP7" s="668"/>
    </row>
    <row r="8" spans="2:42" ht="14.4" customHeight="1" thickBot="1" x14ac:dyDescent="0.35">
      <c r="B8" s="662"/>
      <c r="C8" s="663"/>
      <c r="D8" s="645"/>
      <c r="E8" s="678"/>
      <c r="F8" s="678"/>
      <c r="G8" s="675"/>
      <c r="H8" s="669" t="s">
        <v>187</v>
      </c>
      <c r="I8" s="669" t="s">
        <v>188</v>
      </c>
      <c r="J8" s="672" t="s">
        <v>189</v>
      </c>
      <c r="K8" s="673"/>
      <c r="L8" s="673"/>
      <c r="M8" s="673"/>
      <c r="N8" s="673"/>
      <c r="O8" s="673"/>
      <c r="P8" s="673"/>
      <c r="Q8" s="673"/>
      <c r="R8" s="673"/>
      <c r="S8" s="673"/>
      <c r="T8" s="673"/>
      <c r="U8" s="673"/>
      <c r="V8" s="673"/>
      <c r="W8" s="673"/>
      <c r="X8" s="673"/>
      <c r="Y8" s="673"/>
      <c r="Z8" s="673"/>
      <c r="AA8" s="673"/>
      <c r="AB8" s="674"/>
      <c r="AC8" s="645"/>
      <c r="AD8" s="678"/>
      <c r="AE8" s="678"/>
      <c r="AF8" s="675"/>
      <c r="AG8" s="675" t="s">
        <v>187</v>
      </c>
      <c r="AH8" s="645" t="s">
        <v>188</v>
      </c>
      <c r="AI8" s="648" t="s">
        <v>189</v>
      </c>
      <c r="AJ8" s="649"/>
      <c r="AK8" s="649"/>
      <c r="AL8" s="649"/>
      <c r="AM8" s="649"/>
      <c r="AN8" s="649"/>
      <c r="AO8" s="649"/>
      <c r="AP8" s="650"/>
    </row>
    <row r="9" spans="2:42" ht="25.5" customHeight="1" thickBot="1" x14ac:dyDescent="0.35">
      <c r="B9" s="662"/>
      <c r="C9" s="663"/>
      <c r="D9" s="646"/>
      <c r="E9" s="679"/>
      <c r="F9" s="679"/>
      <c r="G9" s="676"/>
      <c r="H9" s="670"/>
      <c r="I9" s="670"/>
      <c r="J9" s="654" t="s">
        <v>190</v>
      </c>
      <c r="K9" s="642" t="s">
        <v>2</v>
      </c>
      <c r="L9" s="642" t="s">
        <v>3</v>
      </c>
      <c r="M9" s="642" t="s">
        <v>4</v>
      </c>
      <c r="N9" s="642" t="s">
        <v>5</v>
      </c>
      <c r="O9" s="642" t="s">
        <v>6</v>
      </c>
      <c r="P9" s="642" t="s">
        <v>19</v>
      </c>
      <c r="Q9" s="642" t="s">
        <v>20</v>
      </c>
      <c r="R9" s="642" t="s">
        <v>21</v>
      </c>
      <c r="S9" s="642" t="s">
        <v>22</v>
      </c>
      <c r="T9" s="642" t="s">
        <v>23</v>
      </c>
      <c r="U9" s="642" t="s">
        <v>24</v>
      </c>
      <c r="V9" s="642" t="s">
        <v>25</v>
      </c>
      <c r="W9" s="642" t="s">
        <v>26</v>
      </c>
      <c r="X9" s="642" t="s">
        <v>27</v>
      </c>
      <c r="Y9" s="642" t="s">
        <v>28</v>
      </c>
      <c r="Z9" s="642" t="s">
        <v>29</v>
      </c>
      <c r="AA9" s="642" t="s">
        <v>30</v>
      </c>
      <c r="AB9" s="651" t="s">
        <v>31</v>
      </c>
      <c r="AC9" s="646"/>
      <c r="AD9" s="679"/>
      <c r="AE9" s="679"/>
      <c r="AF9" s="676"/>
      <c r="AG9" s="676"/>
      <c r="AH9" s="646"/>
      <c r="AI9" s="654" t="s">
        <v>190</v>
      </c>
      <c r="AJ9" s="642" t="s">
        <v>2</v>
      </c>
      <c r="AK9" s="642" t="s">
        <v>3</v>
      </c>
      <c r="AL9" s="642" t="s">
        <v>4</v>
      </c>
      <c r="AM9" s="642" t="s">
        <v>5</v>
      </c>
      <c r="AN9" s="642" t="s">
        <v>6</v>
      </c>
      <c r="AO9" s="642" t="s">
        <v>19</v>
      </c>
      <c r="AP9" s="651" t="s">
        <v>20</v>
      </c>
    </row>
    <row r="10" spans="2:42" ht="40.950000000000003" customHeight="1" x14ac:dyDescent="0.3">
      <c r="B10" s="662"/>
      <c r="C10" s="663"/>
      <c r="D10" s="680" t="s">
        <v>64</v>
      </c>
      <c r="E10" s="682" t="s">
        <v>191</v>
      </c>
      <c r="F10" s="682"/>
      <c r="G10" s="683" t="s">
        <v>192</v>
      </c>
      <c r="H10" s="670"/>
      <c r="I10" s="670"/>
      <c r="J10" s="655"/>
      <c r="K10" s="643"/>
      <c r="L10" s="643"/>
      <c r="M10" s="643"/>
      <c r="N10" s="643"/>
      <c r="O10" s="643"/>
      <c r="P10" s="643"/>
      <c r="Q10" s="643"/>
      <c r="R10" s="643"/>
      <c r="S10" s="643"/>
      <c r="T10" s="643"/>
      <c r="U10" s="643"/>
      <c r="V10" s="643"/>
      <c r="W10" s="643"/>
      <c r="X10" s="643"/>
      <c r="Y10" s="643"/>
      <c r="Z10" s="643"/>
      <c r="AA10" s="643"/>
      <c r="AB10" s="652"/>
      <c r="AC10" s="680" t="s">
        <v>64</v>
      </c>
      <c r="AD10" s="682" t="s">
        <v>191</v>
      </c>
      <c r="AE10" s="682"/>
      <c r="AF10" s="683" t="s">
        <v>192</v>
      </c>
      <c r="AG10" s="676"/>
      <c r="AH10" s="646"/>
      <c r="AI10" s="655"/>
      <c r="AJ10" s="643"/>
      <c r="AK10" s="643"/>
      <c r="AL10" s="643"/>
      <c r="AM10" s="643"/>
      <c r="AN10" s="643"/>
      <c r="AO10" s="643"/>
      <c r="AP10" s="652"/>
    </row>
    <row r="11" spans="2:42" ht="23.25" customHeight="1" thickBot="1" x14ac:dyDescent="0.35">
      <c r="B11" s="662"/>
      <c r="C11" s="663"/>
      <c r="D11" s="681"/>
      <c r="E11" s="359" t="s">
        <v>193</v>
      </c>
      <c r="F11" s="359" t="s">
        <v>194</v>
      </c>
      <c r="G11" s="684"/>
      <c r="H11" s="671"/>
      <c r="I11" s="671"/>
      <c r="J11" s="656"/>
      <c r="K11" s="644"/>
      <c r="L11" s="644"/>
      <c r="M11" s="644"/>
      <c r="N11" s="644"/>
      <c r="O11" s="644"/>
      <c r="P11" s="644"/>
      <c r="Q11" s="644"/>
      <c r="R11" s="644"/>
      <c r="S11" s="644"/>
      <c r="T11" s="644"/>
      <c r="U11" s="644"/>
      <c r="V11" s="644"/>
      <c r="W11" s="644"/>
      <c r="X11" s="644"/>
      <c r="Y11" s="644"/>
      <c r="Z11" s="644"/>
      <c r="AA11" s="644"/>
      <c r="AB11" s="653"/>
      <c r="AC11" s="681"/>
      <c r="AD11" s="359" t="s">
        <v>193</v>
      </c>
      <c r="AE11" s="359" t="s">
        <v>194</v>
      </c>
      <c r="AF11" s="684"/>
      <c r="AG11" s="677"/>
      <c r="AH11" s="647"/>
      <c r="AI11" s="656"/>
      <c r="AJ11" s="644"/>
      <c r="AK11" s="644"/>
      <c r="AL11" s="644"/>
      <c r="AM11" s="644"/>
      <c r="AN11" s="644"/>
      <c r="AO11" s="644"/>
      <c r="AP11" s="653"/>
    </row>
    <row r="12" spans="2:42" x14ac:dyDescent="0.3">
      <c r="B12" s="664"/>
      <c r="C12" s="665"/>
      <c r="D12" s="456" t="s">
        <v>66</v>
      </c>
      <c r="E12" s="457" t="s">
        <v>67</v>
      </c>
      <c r="F12" s="457" t="s">
        <v>68</v>
      </c>
      <c r="G12" s="458" t="s">
        <v>69</v>
      </c>
      <c r="H12" s="456" t="s">
        <v>70</v>
      </c>
      <c r="I12" s="458" t="s">
        <v>71</v>
      </c>
      <c r="J12" s="456" t="s">
        <v>72</v>
      </c>
      <c r="K12" s="459" t="s">
        <v>73</v>
      </c>
      <c r="L12" s="457" t="s">
        <v>74</v>
      </c>
      <c r="M12" s="457" t="s">
        <v>75</v>
      </c>
      <c r="N12" s="457" t="s">
        <v>76</v>
      </c>
      <c r="O12" s="459" t="s">
        <v>77</v>
      </c>
      <c r="P12" s="457" t="s">
        <v>78</v>
      </c>
      <c r="Q12" s="457" t="s">
        <v>79</v>
      </c>
      <c r="R12" s="457" t="s">
        <v>80</v>
      </c>
      <c r="S12" s="459" t="s">
        <v>106</v>
      </c>
      <c r="T12" s="457" t="s">
        <v>108</v>
      </c>
      <c r="U12" s="457" t="s">
        <v>110</v>
      </c>
      <c r="V12" s="457" t="s">
        <v>112</v>
      </c>
      <c r="W12" s="459" t="s">
        <v>114</v>
      </c>
      <c r="X12" s="457" t="s">
        <v>116</v>
      </c>
      <c r="Y12" s="457" t="s">
        <v>117</v>
      </c>
      <c r="Z12" s="457" t="s">
        <v>118</v>
      </c>
      <c r="AA12" s="459" t="s">
        <v>120</v>
      </c>
      <c r="AB12" s="458" t="s">
        <v>122</v>
      </c>
      <c r="AC12" s="456" t="s">
        <v>123</v>
      </c>
      <c r="AD12" s="459" t="s">
        <v>125</v>
      </c>
      <c r="AE12" s="459" t="s">
        <v>127</v>
      </c>
      <c r="AF12" s="458" t="s">
        <v>128</v>
      </c>
      <c r="AG12" s="460" t="s">
        <v>130</v>
      </c>
      <c r="AH12" s="459" t="s">
        <v>132</v>
      </c>
      <c r="AI12" s="456" t="s">
        <v>134</v>
      </c>
      <c r="AJ12" s="459" t="s">
        <v>135</v>
      </c>
      <c r="AK12" s="459" t="s">
        <v>136</v>
      </c>
      <c r="AL12" s="457" t="s">
        <v>137</v>
      </c>
      <c r="AM12" s="459" t="s">
        <v>139</v>
      </c>
      <c r="AN12" s="457" t="s">
        <v>140</v>
      </c>
      <c r="AO12" s="457" t="s">
        <v>141</v>
      </c>
      <c r="AP12" s="458" t="s">
        <v>142</v>
      </c>
    </row>
    <row r="13" spans="2:42" x14ac:dyDescent="0.3">
      <c r="B13" s="372" t="s">
        <v>66</v>
      </c>
      <c r="C13" s="360" t="s">
        <v>93</v>
      </c>
      <c r="D13" s="449"/>
      <c r="E13" s="450"/>
      <c r="F13" s="78"/>
      <c r="G13" s="451"/>
      <c r="H13" s="449"/>
      <c r="I13" s="451"/>
      <c r="J13" s="449"/>
      <c r="K13" s="450"/>
      <c r="L13" s="450"/>
      <c r="M13" s="450"/>
      <c r="N13" s="450"/>
      <c r="O13" s="450"/>
      <c r="P13" s="450"/>
      <c r="Q13" s="450"/>
      <c r="R13" s="450"/>
      <c r="S13" s="450"/>
      <c r="T13" s="450"/>
      <c r="U13" s="450"/>
      <c r="V13" s="450"/>
      <c r="W13" s="450"/>
      <c r="X13" s="450"/>
      <c r="Y13" s="450"/>
      <c r="Z13" s="452"/>
      <c r="AA13" s="452"/>
      <c r="AB13" s="453"/>
      <c r="AC13" s="449"/>
      <c r="AD13" s="450"/>
      <c r="AE13" s="78"/>
      <c r="AF13" s="451"/>
      <c r="AG13" s="454"/>
      <c r="AH13" s="455"/>
      <c r="AI13" s="449"/>
      <c r="AJ13" s="450"/>
      <c r="AK13" s="450"/>
      <c r="AL13" s="450"/>
      <c r="AM13" s="450"/>
      <c r="AN13" s="450"/>
      <c r="AO13" s="450"/>
      <c r="AP13" s="451"/>
    </row>
    <row r="14" spans="2:42" x14ac:dyDescent="0.3">
      <c r="B14" s="374" t="s">
        <v>68</v>
      </c>
      <c r="C14" s="361" t="s">
        <v>95</v>
      </c>
      <c r="D14" s="316"/>
      <c r="E14" s="97"/>
      <c r="F14" s="97"/>
      <c r="G14" s="393"/>
      <c r="H14" s="316"/>
      <c r="I14" s="317"/>
      <c r="J14" s="316"/>
      <c r="K14" s="97"/>
      <c r="L14" s="97"/>
      <c r="M14" s="97"/>
      <c r="N14" s="97"/>
      <c r="O14" s="97"/>
      <c r="P14" s="97"/>
      <c r="Q14" s="97"/>
      <c r="R14" s="97"/>
      <c r="S14" s="97"/>
      <c r="T14" s="97"/>
      <c r="U14" s="97"/>
      <c r="V14" s="97"/>
      <c r="W14" s="97"/>
      <c r="X14" s="97"/>
      <c r="Y14" s="97"/>
      <c r="Z14" s="125"/>
      <c r="AA14" s="125"/>
      <c r="AB14" s="427"/>
      <c r="AC14" s="316"/>
      <c r="AD14" s="97"/>
      <c r="AE14" s="97"/>
      <c r="AF14" s="393"/>
      <c r="AG14" s="293"/>
      <c r="AH14" s="439"/>
      <c r="AI14" s="316"/>
      <c r="AJ14" s="97"/>
      <c r="AK14" s="97"/>
      <c r="AL14" s="97"/>
      <c r="AM14" s="97"/>
      <c r="AN14" s="97"/>
      <c r="AO14" s="97"/>
      <c r="AP14" s="317"/>
    </row>
    <row r="15" spans="2:42" x14ac:dyDescent="0.3">
      <c r="B15" s="372" t="s">
        <v>69</v>
      </c>
      <c r="C15" s="361" t="s">
        <v>96</v>
      </c>
      <c r="D15" s="297"/>
      <c r="E15" s="90"/>
      <c r="F15" s="90"/>
      <c r="G15" s="393"/>
      <c r="H15" s="297"/>
      <c r="I15" s="312"/>
      <c r="J15" s="297"/>
      <c r="K15" s="90"/>
      <c r="L15" s="90"/>
      <c r="M15" s="90"/>
      <c r="N15" s="90"/>
      <c r="O15" s="90"/>
      <c r="P15" s="90"/>
      <c r="Q15" s="90"/>
      <c r="R15" s="90"/>
      <c r="S15" s="90"/>
      <c r="T15" s="90"/>
      <c r="U15" s="90"/>
      <c r="V15" s="90"/>
      <c r="W15" s="90"/>
      <c r="X15" s="90"/>
      <c r="Y15" s="90"/>
      <c r="Z15" s="111"/>
      <c r="AA15" s="111"/>
      <c r="AB15" s="377"/>
      <c r="AC15" s="297"/>
      <c r="AD15" s="90"/>
      <c r="AE15" s="90"/>
      <c r="AF15" s="393"/>
      <c r="AG15" s="88"/>
      <c r="AH15" s="139"/>
      <c r="AI15" s="297"/>
      <c r="AJ15" s="90"/>
      <c r="AK15" s="90"/>
      <c r="AL15" s="90"/>
      <c r="AM15" s="90"/>
      <c r="AN15" s="90"/>
      <c r="AO15" s="90"/>
      <c r="AP15" s="115"/>
    </row>
    <row r="16" spans="2:42" x14ac:dyDescent="0.3">
      <c r="B16" s="374" t="s">
        <v>70</v>
      </c>
      <c r="C16" s="362" t="s">
        <v>97</v>
      </c>
      <c r="D16" s="298">
        <f>SUM(D17:D18)</f>
        <v>500</v>
      </c>
      <c r="E16" s="85"/>
      <c r="F16" s="144"/>
      <c r="G16" s="394"/>
      <c r="H16" s="296"/>
      <c r="I16" s="410"/>
      <c r="J16" s="296"/>
      <c r="K16" s="149">
        <f>SUM(K17:K18)</f>
        <v>11.66333333333333</v>
      </c>
      <c r="L16" s="149">
        <f t="shared" ref="L16:T16" si="0">SUM(L17:L18)</f>
        <v>23.172500000000003</v>
      </c>
      <c r="M16" s="149">
        <f t="shared" si="0"/>
        <v>34.333333333333336</v>
      </c>
      <c r="N16" s="149">
        <f t="shared" si="0"/>
        <v>33.830833333333331</v>
      </c>
      <c r="O16" s="149">
        <f t="shared" si="0"/>
        <v>33.338333333333338</v>
      </c>
      <c r="P16" s="149">
        <f t="shared" si="0"/>
        <v>65.169166666666669</v>
      </c>
      <c r="Q16" s="149">
        <f t="shared" si="0"/>
        <v>63.169166666666669</v>
      </c>
      <c r="R16" s="149">
        <f t="shared" si="0"/>
        <v>120.33833333333332</v>
      </c>
      <c r="S16" s="149">
        <f t="shared" si="0"/>
        <v>112.33833333333332</v>
      </c>
      <c r="T16" s="149">
        <f t="shared" si="0"/>
        <v>104.33833333333332</v>
      </c>
      <c r="U16" s="85"/>
      <c r="V16" s="85"/>
      <c r="W16" s="85"/>
      <c r="X16" s="85"/>
      <c r="Y16" s="85"/>
      <c r="Z16" s="114"/>
      <c r="AA16" s="114"/>
      <c r="AB16" s="378"/>
      <c r="AC16" s="298">
        <f>AO_ограничења!C7</f>
        <v>500</v>
      </c>
      <c r="AD16" s="85"/>
      <c r="AE16" s="144">
        <v>1</v>
      </c>
      <c r="AF16" s="394"/>
      <c r="AG16" s="87"/>
      <c r="AH16" s="440"/>
      <c r="AI16" s="310"/>
      <c r="AJ16" s="149">
        <f>SUM(AJ17:AJ18)</f>
        <v>9.1193285217143192</v>
      </c>
      <c r="AK16" s="149">
        <f t="shared" ref="AK16:AP16" si="1">SUM(AK17:AK18)</f>
        <v>19.013345180197877</v>
      </c>
      <c r="AL16" s="149">
        <f t="shared" si="1"/>
        <v>479.81618781093397</v>
      </c>
      <c r="AM16" s="149">
        <f t="shared" si="1"/>
        <v>0</v>
      </c>
      <c r="AN16" s="149">
        <f t="shared" si="1"/>
        <v>0</v>
      </c>
      <c r="AO16" s="149">
        <f t="shared" si="1"/>
        <v>0</v>
      </c>
      <c r="AP16" s="311">
        <f t="shared" si="1"/>
        <v>0</v>
      </c>
    </row>
    <row r="17" spans="2:42" x14ac:dyDescent="0.3">
      <c r="B17" s="356"/>
      <c r="C17" s="357" t="s">
        <v>181</v>
      </c>
      <c r="D17" s="298">
        <f>AO_пријевремена_отплата!C5</f>
        <v>500</v>
      </c>
      <c r="E17" s="85"/>
      <c r="F17" s="144">
        <v>1</v>
      </c>
      <c r="G17" s="394"/>
      <c r="H17" s="296"/>
      <c r="I17" s="410"/>
      <c r="J17" s="296"/>
      <c r="K17" s="149">
        <f>AO_пријевремена_отплата!D54+AO_пријевремена_отплата!D62</f>
        <v>10.41333333333333</v>
      </c>
      <c r="L17" s="149">
        <f>AO_пријевремена_отплата!E54+AO_пријевремена_отплата!E62</f>
        <v>20.732500000000002</v>
      </c>
      <c r="M17" s="149">
        <f>AO_пријевремена_отплата!F54+AO_пријевремена_отплата!F62</f>
        <v>30.833333333333336</v>
      </c>
      <c r="N17" s="149">
        <f>AO_пријевремена_отплата!G54+AO_пријевремена_отплата!G62</f>
        <v>30.520833333333332</v>
      </c>
      <c r="O17" s="561">
        <f>AO_пријевремена_отплата!H54+AO_пријевремена_отплата!H62</f>
        <v>30.208333333333336</v>
      </c>
      <c r="P17" s="149">
        <f>AO_пријевремена_отплата!I54+AO_пријевремена_отплата!I62</f>
        <v>59.479166666666671</v>
      </c>
      <c r="Q17" s="149">
        <f>AO_пријевремена_отплата!J54+AO_пријевремена_отплата!J62</f>
        <v>58.229166666666671</v>
      </c>
      <c r="R17" s="149">
        <f>AO_пријевремена_отплата!K54+AO_пријевремена_отплата!K62</f>
        <v>112.70833333333333</v>
      </c>
      <c r="S17" s="149">
        <f>AO_пријевремена_отплата!L54+AO_пријевремена_отплата!L62</f>
        <v>107.70833333333333</v>
      </c>
      <c r="T17" s="149">
        <f>AO_пријевремена_отплата!M54+AO_пријевремена_отплата!M62</f>
        <v>102.70833333333333</v>
      </c>
      <c r="U17" s="85"/>
      <c r="V17" s="85"/>
      <c r="W17" s="85"/>
      <c r="X17" s="85"/>
      <c r="Y17" s="85"/>
      <c r="Z17" s="114"/>
      <c r="AA17" s="114"/>
      <c r="AB17" s="378"/>
      <c r="AC17" s="298"/>
      <c r="AD17" s="85"/>
      <c r="AE17" s="144"/>
      <c r="AF17" s="394"/>
      <c r="AG17" s="87"/>
      <c r="AH17" s="440"/>
      <c r="AI17" s="310"/>
      <c r="AJ17" s="149"/>
      <c r="AK17" s="149"/>
      <c r="AL17" s="149"/>
      <c r="AM17" s="149"/>
      <c r="AN17" s="149"/>
      <c r="AO17" s="149"/>
      <c r="AP17" s="311"/>
    </row>
    <row r="18" spans="2:42" x14ac:dyDescent="0.3">
      <c r="B18" s="563"/>
      <c r="C18" s="562" t="s">
        <v>182</v>
      </c>
      <c r="D18" s="298"/>
      <c r="E18" s="85"/>
      <c r="F18" s="144"/>
      <c r="G18" s="394"/>
      <c r="H18" s="296"/>
      <c r="I18" s="410"/>
      <c r="J18" s="296"/>
      <c r="K18" s="149">
        <f>AO_ограничења!D63</f>
        <v>1.25</v>
      </c>
      <c r="L18" s="149">
        <f>AO_ограничења!E63</f>
        <v>2.44</v>
      </c>
      <c r="M18" s="149">
        <f>AO_ограничења!F63</f>
        <v>3.5</v>
      </c>
      <c r="N18" s="149">
        <f>AO_ограничења!G63</f>
        <v>3.31</v>
      </c>
      <c r="O18" s="149">
        <f>AO_ограничења!H63</f>
        <v>3.13</v>
      </c>
      <c r="P18" s="149">
        <f>AO_ограничења!I63</f>
        <v>5.69</v>
      </c>
      <c r="Q18" s="149">
        <f>AO_ограничења!J63</f>
        <v>4.9400000000000004</v>
      </c>
      <c r="R18" s="149">
        <f>AO_ограничења!K63</f>
        <v>7.63</v>
      </c>
      <c r="S18" s="149">
        <f>AO_ограничења!L63</f>
        <v>4.63</v>
      </c>
      <c r="T18" s="149">
        <f>AO_ограничења!M63</f>
        <v>1.63</v>
      </c>
      <c r="U18" s="85"/>
      <c r="V18" s="85"/>
      <c r="W18" s="85"/>
      <c r="X18" s="85"/>
      <c r="Y18" s="85"/>
      <c r="Z18" s="114"/>
      <c r="AA18" s="114"/>
      <c r="AB18" s="378"/>
      <c r="AC18" s="298">
        <v>500</v>
      </c>
      <c r="AD18" s="85"/>
      <c r="AE18" s="144">
        <v>1</v>
      </c>
      <c r="AF18" s="394"/>
      <c r="AG18" s="87"/>
      <c r="AH18" s="440"/>
      <c r="AI18" s="310"/>
      <c r="AJ18" s="149">
        <f>AO_ограничења!D56+AO_ограничења!D71-AO_ограничења!D63</f>
        <v>9.1193285217143192</v>
      </c>
      <c r="AK18" s="149">
        <f>AO_ограничења!E56+AO_ограничења!E71-AO_ограничења!E63</f>
        <v>19.013345180197877</v>
      </c>
      <c r="AL18" s="149">
        <f>AO_ограничења!F56+AO_ограничења!F71-AO_ограничења!F63</f>
        <v>479.81618781093397</v>
      </c>
      <c r="AM18" s="149">
        <f>AO_ограничења!G56+AO_ограничења!G71-AO_ограничења!G63</f>
        <v>0</v>
      </c>
      <c r="AN18" s="149">
        <f>AO_ограничења!H56+AO_ограничења!H71-AO_ограничења!H63</f>
        <v>0</v>
      </c>
      <c r="AO18" s="149">
        <f>AO_ограничења!I56+AO_ограничења!I71-AO_ограничења!I63</f>
        <v>0</v>
      </c>
      <c r="AP18" s="311">
        <f>AO_ограничења!J56+AO_ограничења!J71-AO_ограничења!J63</f>
        <v>0</v>
      </c>
    </row>
    <row r="19" spans="2:42" x14ac:dyDescent="0.3">
      <c r="B19" s="374" t="s">
        <v>71</v>
      </c>
      <c r="C19" s="363" t="s">
        <v>195</v>
      </c>
      <c r="D19" s="295"/>
      <c r="E19" s="84"/>
      <c r="F19" s="84"/>
      <c r="G19" s="395"/>
      <c r="H19" s="295"/>
      <c r="I19" s="411"/>
      <c r="J19" s="295"/>
      <c r="K19" s="84"/>
      <c r="L19" s="84"/>
      <c r="M19" s="129"/>
      <c r="N19" s="84"/>
      <c r="O19" s="130"/>
      <c r="P19" s="84"/>
      <c r="Q19" s="84"/>
      <c r="R19" s="84"/>
      <c r="S19" s="84"/>
      <c r="T19" s="84"/>
      <c r="U19" s="84"/>
      <c r="V19" s="84"/>
      <c r="W19" s="84"/>
      <c r="X19" s="84"/>
      <c r="Y19" s="84"/>
      <c r="Z19" s="113"/>
      <c r="AA19" s="113"/>
      <c r="AB19" s="396"/>
      <c r="AC19" s="295"/>
      <c r="AD19" s="84"/>
      <c r="AE19" s="84"/>
      <c r="AF19" s="395"/>
      <c r="AG19" s="83"/>
      <c r="AH19" s="441"/>
      <c r="AI19" s="295"/>
      <c r="AJ19" s="84"/>
      <c r="AK19" s="84"/>
      <c r="AL19" s="129"/>
      <c r="AM19" s="84"/>
      <c r="AN19" s="130"/>
      <c r="AO19" s="84"/>
      <c r="AP19" s="86"/>
    </row>
    <row r="20" spans="2:42" x14ac:dyDescent="0.3">
      <c r="B20" s="372" t="s">
        <v>72</v>
      </c>
      <c r="C20" s="363" t="s">
        <v>100</v>
      </c>
      <c r="D20" s="296"/>
      <c r="E20" s="85"/>
      <c r="F20" s="85"/>
      <c r="G20" s="394"/>
      <c r="H20" s="296"/>
      <c r="I20" s="115"/>
      <c r="J20" s="296"/>
      <c r="K20" s="85"/>
      <c r="L20" s="85"/>
      <c r="M20" s="126"/>
      <c r="N20" s="85"/>
      <c r="O20" s="127"/>
      <c r="P20" s="85"/>
      <c r="Q20" s="85"/>
      <c r="R20" s="85"/>
      <c r="S20" s="85"/>
      <c r="T20" s="85"/>
      <c r="U20" s="85"/>
      <c r="V20" s="85"/>
      <c r="W20" s="85"/>
      <c r="X20" s="85"/>
      <c r="Y20" s="85"/>
      <c r="Z20" s="114"/>
      <c r="AA20" s="114"/>
      <c r="AB20" s="378"/>
      <c r="AC20" s="296"/>
      <c r="AD20" s="85"/>
      <c r="AE20" s="85"/>
      <c r="AF20" s="394"/>
      <c r="AG20" s="87"/>
      <c r="AH20" s="133"/>
      <c r="AI20" s="296"/>
      <c r="AJ20" s="85"/>
      <c r="AK20" s="85"/>
      <c r="AL20" s="126"/>
      <c r="AM20" s="85"/>
      <c r="AN20" s="127"/>
      <c r="AO20" s="85"/>
      <c r="AP20" s="115"/>
    </row>
    <row r="21" spans="2:42" x14ac:dyDescent="0.3">
      <c r="B21" s="372" t="s">
        <v>74</v>
      </c>
      <c r="C21" s="363" t="s">
        <v>196</v>
      </c>
      <c r="D21" s="295"/>
      <c r="E21" s="84"/>
      <c r="F21" s="84"/>
      <c r="G21" s="395"/>
      <c r="H21" s="295"/>
      <c r="I21" s="86"/>
      <c r="J21" s="295"/>
      <c r="K21" s="84"/>
      <c r="L21" s="84"/>
      <c r="M21" s="129"/>
      <c r="N21" s="84"/>
      <c r="O21" s="130"/>
      <c r="P21" s="84"/>
      <c r="Q21" s="84"/>
      <c r="R21" s="84"/>
      <c r="S21" s="84"/>
      <c r="T21" s="84"/>
      <c r="U21" s="84"/>
      <c r="V21" s="84"/>
      <c r="W21" s="84"/>
      <c r="X21" s="84"/>
      <c r="Y21" s="84"/>
      <c r="Z21" s="113"/>
      <c r="AA21" s="113"/>
      <c r="AB21" s="396"/>
      <c r="AC21" s="295"/>
      <c r="AD21" s="84"/>
      <c r="AE21" s="84"/>
      <c r="AF21" s="395"/>
      <c r="AG21" s="83"/>
      <c r="AH21" s="141"/>
      <c r="AI21" s="295"/>
      <c r="AJ21" s="84"/>
      <c r="AK21" s="84"/>
      <c r="AL21" s="129"/>
      <c r="AM21" s="84"/>
      <c r="AN21" s="130"/>
      <c r="AO21" s="84"/>
      <c r="AP21" s="86"/>
    </row>
    <row r="22" spans="2:42" x14ac:dyDescent="0.3">
      <c r="B22" s="372" t="s">
        <v>75</v>
      </c>
      <c r="C22" s="363" t="s">
        <v>102</v>
      </c>
      <c r="D22" s="296"/>
      <c r="E22" s="85"/>
      <c r="F22" s="85"/>
      <c r="G22" s="380"/>
      <c r="H22" s="412"/>
      <c r="I22" s="410"/>
      <c r="J22" s="428"/>
      <c r="K22" s="85"/>
      <c r="L22" s="85"/>
      <c r="M22" s="126"/>
      <c r="N22" s="85"/>
      <c r="O22" s="85"/>
      <c r="P22" s="85"/>
      <c r="Q22" s="85"/>
      <c r="R22" s="85"/>
      <c r="S22" s="85"/>
      <c r="T22" s="85"/>
      <c r="U22" s="85"/>
      <c r="V22" s="85"/>
      <c r="W22" s="85"/>
      <c r="X22" s="85"/>
      <c r="Y22" s="85"/>
      <c r="Z22" s="114"/>
      <c r="AA22" s="114"/>
      <c r="AB22" s="378"/>
      <c r="AC22" s="296"/>
      <c r="AD22" s="85"/>
      <c r="AE22" s="85"/>
      <c r="AF22" s="380"/>
      <c r="AG22" s="384"/>
      <c r="AH22" s="440"/>
      <c r="AI22" s="428"/>
      <c r="AJ22" s="85"/>
      <c r="AK22" s="85"/>
      <c r="AL22" s="126"/>
      <c r="AM22" s="85"/>
      <c r="AN22" s="85"/>
      <c r="AO22" s="85"/>
      <c r="AP22" s="115"/>
    </row>
    <row r="23" spans="2:42" x14ac:dyDescent="0.3">
      <c r="B23" s="372" t="s">
        <v>76</v>
      </c>
      <c r="C23" s="363" t="s">
        <v>103</v>
      </c>
      <c r="D23" s="296"/>
      <c r="E23" s="85"/>
      <c r="F23" s="85"/>
      <c r="G23" s="380"/>
      <c r="H23" s="296"/>
      <c r="I23" s="115"/>
      <c r="J23" s="428"/>
      <c r="K23" s="85"/>
      <c r="L23" s="85"/>
      <c r="M23" s="126"/>
      <c r="N23" s="85"/>
      <c r="O23" s="85"/>
      <c r="P23" s="85"/>
      <c r="Q23" s="85"/>
      <c r="R23" s="85"/>
      <c r="S23" s="85"/>
      <c r="T23" s="85"/>
      <c r="U23" s="85"/>
      <c r="V23" s="85"/>
      <c r="W23" s="85"/>
      <c r="X23" s="85"/>
      <c r="Y23" s="85"/>
      <c r="Z23" s="114"/>
      <c r="AA23" s="114"/>
      <c r="AB23" s="378"/>
      <c r="AC23" s="296"/>
      <c r="AD23" s="85"/>
      <c r="AE23" s="85"/>
      <c r="AF23" s="380"/>
      <c r="AG23" s="87"/>
      <c r="AH23" s="133"/>
      <c r="AI23" s="428"/>
      <c r="AJ23" s="85"/>
      <c r="AK23" s="85"/>
      <c r="AL23" s="126"/>
      <c r="AM23" s="85"/>
      <c r="AN23" s="85"/>
      <c r="AO23" s="85"/>
      <c r="AP23" s="115"/>
    </row>
    <row r="24" spans="2:42" x14ac:dyDescent="0.3">
      <c r="B24" s="462" t="s">
        <v>77</v>
      </c>
      <c r="C24" s="362" t="s">
        <v>104</v>
      </c>
      <c r="D24" s="296"/>
      <c r="E24" s="85"/>
      <c r="F24" s="85"/>
      <c r="G24" s="394"/>
      <c r="H24" s="296"/>
      <c r="I24" s="115"/>
      <c r="J24" s="428"/>
      <c r="K24" s="85"/>
      <c r="L24" s="85"/>
      <c r="M24" s="126"/>
      <c r="N24" s="85"/>
      <c r="O24" s="85"/>
      <c r="P24" s="85"/>
      <c r="Q24" s="85"/>
      <c r="R24" s="85"/>
      <c r="S24" s="85"/>
      <c r="T24" s="85"/>
      <c r="U24" s="85"/>
      <c r="V24" s="85"/>
      <c r="W24" s="85"/>
      <c r="X24" s="85"/>
      <c r="Y24" s="85"/>
      <c r="Z24" s="114"/>
      <c r="AA24" s="114"/>
      <c r="AB24" s="378"/>
      <c r="AC24" s="296"/>
      <c r="AD24" s="85"/>
      <c r="AE24" s="85"/>
      <c r="AF24" s="394"/>
      <c r="AG24" s="87"/>
      <c r="AH24" s="133"/>
      <c r="AI24" s="428"/>
      <c r="AJ24" s="85"/>
      <c r="AK24" s="85"/>
      <c r="AL24" s="126"/>
      <c r="AM24" s="85"/>
      <c r="AN24" s="85"/>
      <c r="AO24" s="85"/>
      <c r="AP24" s="115"/>
    </row>
    <row r="25" spans="2:42" x14ac:dyDescent="0.3">
      <c r="B25" s="372" t="s">
        <v>79</v>
      </c>
      <c r="C25" s="362" t="s">
        <v>105</v>
      </c>
      <c r="D25" s="296"/>
      <c r="E25" s="114"/>
      <c r="F25" s="114"/>
      <c r="G25" s="396"/>
      <c r="H25" s="413"/>
      <c r="I25" s="378"/>
      <c r="J25" s="428"/>
      <c r="K25" s="85"/>
      <c r="L25" s="85"/>
      <c r="M25" s="126"/>
      <c r="N25" s="85"/>
      <c r="O25" s="85"/>
      <c r="P25" s="85"/>
      <c r="Q25" s="85"/>
      <c r="R25" s="85"/>
      <c r="S25" s="85"/>
      <c r="T25" s="85"/>
      <c r="U25" s="85"/>
      <c r="V25" s="85"/>
      <c r="W25" s="85"/>
      <c r="X25" s="85"/>
      <c r="Y25" s="85"/>
      <c r="Z25" s="114"/>
      <c r="AA25" s="114"/>
      <c r="AB25" s="378"/>
      <c r="AC25" s="296"/>
      <c r="AD25" s="114"/>
      <c r="AE25" s="114"/>
      <c r="AF25" s="396"/>
      <c r="AG25" s="385"/>
      <c r="AH25" s="128"/>
      <c r="AI25" s="428"/>
      <c r="AJ25" s="85"/>
      <c r="AK25" s="85"/>
      <c r="AL25" s="126"/>
      <c r="AM25" s="85"/>
      <c r="AN25" s="85"/>
      <c r="AO25" s="85"/>
      <c r="AP25" s="115"/>
    </row>
    <row r="26" spans="2:42" x14ac:dyDescent="0.3">
      <c r="B26" s="372" t="s">
        <v>106</v>
      </c>
      <c r="C26" s="363" t="s">
        <v>107</v>
      </c>
      <c r="D26" s="296"/>
      <c r="E26" s="113"/>
      <c r="F26" s="113"/>
      <c r="G26" s="396"/>
      <c r="H26" s="414"/>
      <c r="I26" s="396"/>
      <c r="J26" s="296"/>
      <c r="K26" s="114"/>
      <c r="L26" s="114"/>
      <c r="M26" s="114"/>
      <c r="N26" s="114"/>
      <c r="O26" s="114"/>
      <c r="P26" s="85"/>
      <c r="Q26" s="85"/>
      <c r="R26" s="85"/>
      <c r="S26" s="85"/>
      <c r="T26" s="85"/>
      <c r="U26" s="85"/>
      <c r="V26" s="85"/>
      <c r="W26" s="85"/>
      <c r="X26" s="85"/>
      <c r="Y26" s="85"/>
      <c r="Z26" s="85"/>
      <c r="AA26" s="85"/>
      <c r="AB26" s="115"/>
      <c r="AC26" s="296"/>
      <c r="AD26" s="113"/>
      <c r="AE26" s="113"/>
      <c r="AF26" s="396"/>
      <c r="AG26" s="112"/>
      <c r="AH26" s="131"/>
      <c r="AI26" s="296"/>
      <c r="AJ26" s="114"/>
      <c r="AK26" s="114"/>
      <c r="AL26" s="114"/>
      <c r="AM26" s="114"/>
      <c r="AN26" s="114"/>
      <c r="AO26" s="85"/>
      <c r="AP26" s="115"/>
    </row>
    <row r="27" spans="2:42" x14ac:dyDescent="0.3">
      <c r="B27" s="372" t="s">
        <v>108</v>
      </c>
      <c r="C27" s="363" t="s">
        <v>109</v>
      </c>
      <c r="D27" s="313"/>
      <c r="E27" s="134"/>
      <c r="F27" s="134"/>
      <c r="G27" s="397"/>
      <c r="H27" s="415"/>
      <c r="I27" s="397"/>
      <c r="J27" s="429"/>
      <c r="K27" s="135"/>
      <c r="L27" s="135"/>
      <c r="M27" s="135"/>
      <c r="N27" s="135"/>
      <c r="O27" s="135"/>
      <c r="P27" s="94"/>
      <c r="Q27" s="94"/>
      <c r="R27" s="94"/>
      <c r="S27" s="94"/>
      <c r="T27" s="94"/>
      <c r="U27" s="94"/>
      <c r="V27" s="94"/>
      <c r="W27" s="94"/>
      <c r="X27" s="94"/>
      <c r="Y27" s="94"/>
      <c r="Z27" s="94"/>
      <c r="AA27" s="94"/>
      <c r="AB27" s="314"/>
      <c r="AC27" s="313"/>
      <c r="AD27" s="134"/>
      <c r="AE27" s="134"/>
      <c r="AF27" s="397"/>
      <c r="AG27" s="386"/>
      <c r="AH27" s="442"/>
      <c r="AI27" s="429"/>
      <c r="AJ27" s="135"/>
      <c r="AK27" s="135"/>
      <c r="AL27" s="135"/>
      <c r="AM27" s="135"/>
      <c r="AN27" s="135"/>
      <c r="AO27" s="94"/>
      <c r="AP27" s="314"/>
    </row>
    <row r="28" spans="2:42" x14ac:dyDescent="0.3">
      <c r="B28" s="372" t="s">
        <v>110</v>
      </c>
      <c r="C28" s="362" t="s">
        <v>111</v>
      </c>
      <c r="D28" s="296"/>
      <c r="E28" s="85"/>
      <c r="F28" s="85"/>
      <c r="G28" s="115"/>
      <c r="H28" s="296"/>
      <c r="I28" s="115"/>
      <c r="J28" s="296"/>
      <c r="K28" s="85"/>
      <c r="L28" s="85"/>
      <c r="M28" s="85"/>
      <c r="N28" s="85"/>
      <c r="O28" s="85"/>
      <c r="P28" s="85"/>
      <c r="Q28" s="85"/>
      <c r="R28" s="85"/>
      <c r="S28" s="85"/>
      <c r="T28" s="85"/>
      <c r="U28" s="85"/>
      <c r="V28" s="85"/>
      <c r="W28" s="85"/>
      <c r="X28" s="85"/>
      <c r="Y28" s="85"/>
      <c r="Z28" s="85"/>
      <c r="AA28" s="85"/>
      <c r="AB28" s="115"/>
      <c r="AC28" s="296"/>
      <c r="AD28" s="85"/>
      <c r="AE28" s="85"/>
      <c r="AF28" s="115"/>
      <c r="AG28" s="87"/>
      <c r="AH28" s="133"/>
      <c r="AI28" s="296"/>
      <c r="AJ28" s="85"/>
      <c r="AK28" s="85"/>
      <c r="AL28" s="85"/>
      <c r="AM28" s="85"/>
      <c r="AN28" s="85"/>
      <c r="AO28" s="85"/>
      <c r="AP28" s="115"/>
    </row>
    <row r="29" spans="2:42" x14ac:dyDescent="0.3">
      <c r="B29" s="372" t="s">
        <v>112</v>
      </c>
      <c r="C29" s="364" t="s">
        <v>113</v>
      </c>
      <c r="D29" s="313"/>
      <c r="E29" s="94"/>
      <c r="F29" s="94"/>
      <c r="G29" s="314"/>
      <c r="H29" s="313"/>
      <c r="I29" s="314"/>
      <c r="J29" s="313"/>
      <c r="K29" s="94"/>
      <c r="L29" s="94"/>
      <c r="M29" s="94"/>
      <c r="N29" s="94"/>
      <c r="O29" s="94"/>
      <c r="P29" s="94"/>
      <c r="Q29" s="94"/>
      <c r="R29" s="94"/>
      <c r="S29" s="94"/>
      <c r="T29" s="94"/>
      <c r="U29" s="94"/>
      <c r="V29" s="94"/>
      <c r="W29" s="94"/>
      <c r="X29" s="94"/>
      <c r="Y29" s="94"/>
      <c r="Z29" s="94"/>
      <c r="AA29" s="94"/>
      <c r="AB29" s="314"/>
      <c r="AC29" s="313"/>
      <c r="AD29" s="94"/>
      <c r="AE29" s="94"/>
      <c r="AF29" s="314"/>
      <c r="AG29" s="292"/>
      <c r="AH29" s="136"/>
      <c r="AI29" s="313"/>
      <c r="AJ29" s="94"/>
      <c r="AK29" s="94"/>
      <c r="AL29" s="94"/>
      <c r="AM29" s="94"/>
      <c r="AN29" s="94"/>
      <c r="AO29" s="94"/>
      <c r="AP29" s="314"/>
    </row>
    <row r="30" spans="2:42" x14ac:dyDescent="0.3">
      <c r="B30" s="372" t="s">
        <v>114</v>
      </c>
      <c r="C30" s="365" t="s">
        <v>115</v>
      </c>
      <c r="D30" s="392"/>
      <c r="E30" s="123"/>
      <c r="F30" s="123"/>
      <c r="G30" s="373"/>
      <c r="H30" s="392"/>
      <c r="I30" s="373"/>
      <c r="J30" s="392"/>
      <c r="K30" s="123"/>
      <c r="L30" s="123"/>
      <c r="M30" s="123"/>
      <c r="N30" s="123"/>
      <c r="O30" s="123"/>
      <c r="P30" s="123"/>
      <c r="Q30" s="123"/>
      <c r="R30" s="123"/>
      <c r="S30" s="123"/>
      <c r="T30" s="123"/>
      <c r="U30" s="123"/>
      <c r="V30" s="123"/>
      <c r="W30" s="123"/>
      <c r="X30" s="123"/>
      <c r="Y30" s="123"/>
      <c r="Z30" s="123"/>
      <c r="AA30" s="123"/>
      <c r="AB30" s="373"/>
      <c r="AC30" s="392"/>
      <c r="AD30" s="123"/>
      <c r="AE30" s="123"/>
      <c r="AF30" s="373"/>
      <c r="AG30" s="383"/>
      <c r="AH30" s="137"/>
      <c r="AI30" s="392"/>
      <c r="AJ30" s="123"/>
      <c r="AK30" s="123"/>
      <c r="AL30" s="123"/>
      <c r="AM30" s="123"/>
      <c r="AN30" s="123"/>
      <c r="AO30" s="123"/>
      <c r="AP30" s="373"/>
    </row>
    <row r="31" spans="2:42" x14ac:dyDescent="0.3">
      <c r="B31" s="372" t="s">
        <v>117</v>
      </c>
      <c r="C31" s="362" t="s">
        <v>95</v>
      </c>
      <c r="D31" s="304"/>
      <c r="E31" s="89"/>
      <c r="F31" s="89"/>
      <c r="G31" s="393"/>
      <c r="H31" s="304"/>
      <c r="I31" s="99"/>
      <c r="J31" s="304"/>
      <c r="K31" s="89"/>
      <c r="L31" s="89"/>
      <c r="M31" s="89"/>
      <c r="N31" s="89"/>
      <c r="O31" s="89"/>
      <c r="P31" s="89"/>
      <c r="Q31" s="89"/>
      <c r="R31" s="89"/>
      <c r="S31" s="89"/>
      <c r="T31" s="89"/>
      <c r="U31" s="89"/>
      <c r="V31" s="89"/>
      <c r="W31" s="89"/>
      <c r="X31" s="89"/>
      <c r="Y31" s="89"/>
      <c r="Z31" s="89"/>
      <c r="AA31" s="89"/>
      <c r="AB31" s="99"/>
      <c r="AC31" s="304"/>
      <c r="AD31" s="89"/>
      <c r="AE31" s="89"/>
      <c r="AF31" s="393"/>
      <c r="AG31" s="294"/>
      <c r="AH31" s="138"/>
      <c r="AI31" s="304"/>
      <c r="AJ31" s="89"/>
      <c r="AK31" s="89"/>
      <c r="AL31" s="89"/>
      <c r="AM31" s="89"/>
      <c r="AN31" s="89"/>
      <c r="AO31" s="89"/>
      <c r="AP31" s="99"/>
    </row>
    <row r="32" spans="2:42" x14ac:dyDescent="0.3">
      <c r="B32" s="372" t="s">
        <v>118</v>
      </c>
      <c r="C32" s="361" t="s">
        <v>119</v>
      </c>
      <c r="D32" s="297"/>
      <c r="E32" s="90"/>
      <c r="F32" s="90"/>
      <c r="G32" s="393"/>
      <c r="H32" s="297"/>
      <c r="I32" s="312"/>
      <c r="J32" s="297"/>
      <c r="K32" s="90"/>
      <c r="L32" s="90"/>
      <c r="M32" s="90"/>
      <c r="N32" s="90"/>
      <c r="O32" s="90"/>
      <c r="P32" s="90"/>
      <c r="Q32" s="90"/>
      <c r="R32" s="90"/>
      <c r="S32" s="90"/>
      <c r="T32" s="90"/>
      <c r="U32" s="90"/>
      <c r="V32" s="90"/>
      <c r="W32" s="90"/>
      <c r="X32" s="90"/>
      <c r="Y32" s="90"/>
      <c r="Z32" s="90"/>
      <c r="AA32" s="90"/>
      <c r="AB32" s="312"/>
      <c r="AC32" s="297"/>
      <c r="AD32" s="90"/>
      <c r="AE32" s="90"/>
      <c r="AF32" s="393"/>
      <c r="AG32" s="88"/>
      <c r="AH32" s="139"/>
      <c r="AI32" s="297"/>
      <c r="AJ32" s="90"/>
      <c r="AK32" s="90"/>
      <c r="AL32" s="90"/>
      <c r="AM32" s="90"/>
      <c r="AN32" s="90"/>
      <c r="AO32" s="90"/>
      <c r="AP32" s="312"/>
    </row>
    <row r="33" spans="2:42" x14ac:dyDescent="0.3">
      <c r="B33" s="372" t="s">
        <v>120</v>
      </c>
      <c r="C33" s="361" t="s">
        <v>121</v>
      </c>
      <c r="D33" s="296"/>
      <c r="E33" s="85"/>
      <c r="F33" s="85"/>
      <c r="G33" s="115"/>
      <c r="H33" s="296"/>
      <c r="I33" s="416"/>
      <c r="J33" s="296"/>
      <c r="K33" s="85"/>
      <c r="L33" s="85"/>
      <c r="M33" s="85"/>
      <c r="N33" s="85"/>
      <c r="O33" s="85"/>
      <c r="P33" s="85"/>
      <c r="Q33" s="85"/>
      <c r="R33" s="85"/>
      <c r="S33" s="85"/>
      <c r="T33" s="85"/>
      <c r="U33" s="85"/>
      <c r="V33" s="85"/>
      <c r="W33" s="85"/>
      <c r="X33" s="85"/>
      <c r="Y33" s="85"/>
      <c r="Z33" s="85"/>
      <c r="AA33" s="85"/>
      <c r="AB33" s="115"/>
      <c r="AC33" s="296"/>
      <c r="AD33" s="85"/>
      <c r="AE33" s="85"/>
      <c r="AF33" s="115"/>
      <c r="AG33" s="87"/>
      <c r="AH33" s="142"/>
      <c r="AI33" s="296"/>
      <c r="AJ33" s="85"/>
      <c r="AK33" s="85"/>
      <c r="AL33" s="85"/>
      <c r="AM33" s="85"/>
      <c r="AN33" s="85"/>
      <c r="AO33" s="85"/>
      <c r="AP33" s="115"/>
    </row>
    <row r="34" spans="2:42" x14ac:dyDescent="0.3">
      <c r="B34" s="372" t="s">
        <v>123</v>
      </c>
      <c r="C34" s="363" t="s">
        <v>124</v>
      </c>
      <c r="D34" s="295"/>
      <c r="E34" s="84"/>
      <c r="F34" s="84"/>
      <c r="G34" s="86"/>
      <c r="H34" s="295"/>
      <c r="I34" s="417"/>
      <c r="J34" s="295"/>
      <c r="K34" s="84"/>
      <c r="L34" s="84"/>
      <c r="M34" s="84"/>
      <c r="N34" s="84"/>
      <c r="O34" s="84"/>
      <c r="P34" s="84"/>
      <c r="Q34" s="84"/>
      <c r="R34" s="84"/>
      <c r="S34" s="84"/>
      <c r="T34" s="84"/>
      <c r="U34" s="84"/>
      <c r="V34" s="84"/>
      <c r="W34" s="84"/>
      <c r="X34" s="84"/>
      <c r="Y34" s="84"/>
      <c r="Z34" s="84"/>
      <c r="AA34" s="84"/>
      <c r="AB34" s="86"/>
      <c r="AC34" s="295"/>
      <c r="AD34" s="84"/>
      <c r="AE34" s="84"/>
      <c r="AF34" s="86"/>
      <c r="AG34" s="83"/>
      <c r="AH34" s="443"/>
      <c r="AI34" s="295"/>
      <c r="AJ34" s="84"/>
      <c r="AK34" s="84"/>
      <c r="AL34" s="84"/>
      <c r="AM34" s="84"/>
      <c r="AN34" s="84"/>
      <c r="AO34" s="84"/>
      <c r="AP34" s="86"/>
    </row>
    <row r="35" spans="2:42" x14ac:dyDescent="0.3">
      <c r="B35" s="374" t="s">
        <v>125</v>
      </c>
      <c r="C35" s="366" t="s">
        <v>126</v>
      </c>
      <c r="D35" s="296"/>
      <c r="E35" s="85"/>
      <c r="F35" s="85"/>
      <c r="G35" s="115"/>
      <c r="H35" s="296"/>
      <c r="I35" s="396"/>
      <c r="J35" s="296"/>
      <c r="K35" s="85"/>
      <c r="L35" s="85"/>
      <c r="M35" s="85"/>
      <c r="N35" s="85"/>
      <c r="O35" s="85"/>
      <c r="P35" s="85"/>
      <c r="Q35" s="85"/>
      <c r="R35" s="85"/>
      <c r="S35" s="85"/>
      <c r="T35" s="85"/>
      <c r="U35" s="85"/>
      <c r="V35" s="85"/>
      <c r="W35" s="85"/>
      <c r="X35" s="85"/>
      <c r="Y35" s="85"/>
      <c r="Z35" s="85"/>
      <c r="AA35" s="85"/>
      <c r="AB35" s="115"/>
      <c r="AC35" s="296"/>
      <c r="AD35" s="85"/>
      <c r="AE35" s="85"/>
      <c r="AF35" s="115"/>
      <c r="AG35" s="87"/>
      <c r="AH35" s="131"/>
      <c r="AI35" s="296"/>
      <c r="AJ35" s="85"/>
      <c r="AK35" s="85"/>
      <c r="AL35" s="85"/>
      <c r="AM35" s="85"/>
      <c r="AN35" s="85"/>
      <c r="AO35" s="85"/>
      <c r="AP35" s="115"/>
    </row>
    <row r="36" spans="2:42" x14ac:dyDescent="0.3">
      <c r="B36" s="372" t="s">
        <v>128</v>
      </c>
      <c r="C36" s="363" t="s">
        <v>129</v>
      </c>
      <c r="D36" s="296"/>
      <c r="E36" s="85"/>
      <c r="F36" s="85"/>
      <c r="G36" s="86"/>
      <c r="H36" s="296"/>
      <c r="I36" s="396"/>
      <c r="J36" s="296"/>
      <c r="K36" s="85"/>
      <c r="L36" s="85"/>
      <c r="M36" s="85"/>
      <c r="N36" s="85"/>
      <c r="O36" s="85"/>
      <c r="P36" s="85"/>
      <c r="Q36" s="85"/>
      <c r="R36" s="85"/>
      <c r="S36" s="85"/>
      <c r="T36" s="85"/>
      <c r="U36" s="85"/>
      <c r="V36" s="85"/>
      <c r="W36" s="85"/>
      <c r="X36" s="85"/>
      <c r="Y36" s="85"/>
      <c r="Z36" s="85"/>
      <c r="AA36" s="85"/>
      <c r="AB36" s="115"/>
      <c r="AC36" s="296"/>
      <c r="AD36" s="85"/>
      <c r="AE36" s="85"/>
      <c r="AF36" s="86"/>
      <c r="AG36" s="87"/>
      <c r="AH36" s="131"/>
      <c r="AI36" s="296"/>
      <c r="AJ36" s="85"/>
      <c r="AK36" s="85"/>
      <c r="AL36" s="85"/>
      <c r="AM36" s="85"/>
      <c r="AN36" s="85"/>
      <c r="AO36" s="85"/>
      <c r="AP36" s="115"/>
    </row>
    <row r="37" spans="2:42" x14ac:dyDescent="0.3">
      <c r="B37" s="372" t="s">
        <v>130</v>
      </c>
      <c r="C37" s="363" t="s">
        <v>131</v>
      </c>
      <c r="D37" s="295"/>
      <c r="E37" s="84"/>
      <c r="F37" s="84"/>
      <c r="G37" s="86"/>
      <c r="H37" s="295"/>
      <c r="I37" s="396"/>
      <c r="J37" s="295"/>
      <c r="K37" s="84"/>
      <c r="L37" s="84"/>
      <c r="M37" s="84"/>
      <c r="N37" s="84"/>
      <c r="O37" s="84"/>
      <c r="P37" s="84"/>
      <c r="Q37" s="84"/>
      <c r="R37" s="84"/>
      <c r="S37" s="84"/>
      <c r="T37" s="84"/>
      <c r="U37" s="84"/>
      <c r="V37" s="84"/>
      <c r="W37" s="84"/>
      <c r="X37" s="84"/>
      <c r="Y37" s="84"/>
      <c r="Z37" s="84"/>
      <c r="AA37" s="84"/>
      <c r="AB37" s="86"/>
      <c r="AC37" s="295"/>
      <c r="AD37" s="84"/>
      <c r="AE37" s="84"/>
      <c r="AF37" s="86"/>
      <c r="AG37" s="83"/>
      <c r="AH37" s="131"/>
      <c r="AI37" s="295"/>
      <c r="AJ37" s="84"/>
      <c r="AK37" s="84"/>
      <c r="AL37" s="84"/>
      <c r="AM37" s="84"/>
      <c r="AN37" s="84"/>
      <c r="AO37" s="84"/>
      <c r="AP37" s="86"/>
    </row>
    <row r="38" spans="2:42" x14ac:dyDescent="0.3">
      <c r="B38" s="372" t="s">
        <v>132</v>
      </c>
      <c r="C38" s="366" t="s">
        <v>133</v>
      </c>
      <c r="D38" s="296"/>
      <c r="E38" s="85"/>
      <c r="F38" s="85"/>
      <c r="G38" s="394"/>
      <c r="H38" s="418"/>
      <c r="I38" s="396"/>
      <c r="J38" s="296"/>
      <c r="K38" s="85"/>
      <c r="L38" s="85"/>
      <c r="M38" s="85"/>
      <c r="N38" s="85"/>
      <c r="O38" s="85"/>
      <c r="P38" s="85"/>
      <c r="Q38" s="85"/>
      <c r="R38" s="85"/>
      <c r="S38" s="85"/>
      <c r="T38" s="85"/>
      <c r="U38" s="85"/>
      <c r="V38" s="85"/>
      <c r="W38" s="85"/>
      <c r="X38" s="85"/>
      <c r="Y38" s="85"/>
      <c r="Z38" s="85"/>
      <c r="AA38" s="85"/>
      <c r="AB38" s="115"/>
      <c r="AC38" s="296"/>
      <c r="AD38" s="85"/>
      <c r="AE38" s="85"/>
      <c r="AF38" s="394"/>
      <c r="AG38" s="387"/>
      <c r="AH38" s="131"/>
      <c r="AI38" s="296"/>
      <c r="AJ38" s="85"/>
      <c r="AK38" s="85"/>
      <c r="AL38" s="85"/>
      <c r="AM38" s="85"/>
      <c r="AN38" s="85"/>
      <c r="AO38" s="85"/>
      <c r="AP38" s="115"/>
    </row>
    <row r="39" spans="2:42" x14ac:dyDescent="0.3">
      <c r="B39" s="372" t="s">
        <v>135</v>
      </c>
      <c r="C39" s="363" t="s">
        <v>129</v>
      </c>
      <c r="D39" s="296"/>
      <c r="E39" s="85"/>
      <c r="F39" s="85"/>
      <c r="G39" s="395"/>
      <c r="H39" s="418"/>
      <c r="I39" s="396"/>
      <c r="J39" s="296"/>
      <c r="K39" s="85"/>
      <c r="L39" s="85"/>
      <c r="M39" s="85"/>
      <c r="N39" s="85"/>
      <c r="O39" s="140"/>
      <c r="P39" s="85"/>
      <c r="Q39" s="85"/>
      <c r="R39" s="85"/>
      <c r="S39" s="85"/>
      <c r="T39" s="85"/>
      <c r="U39" s="85"/>
      <c r="V39" s="85"/>
      <c r="W39" s="85"/>
      <c r="X39" s="85"/>
      <c r="Y39" s="85"/>
      <c r="Z39" s="140"/>
      <c r="AA39" s="140"/>
      <c r="AB39" s="416"/>
      <c r="AC39" s="296"/>
      <c r="AD39" s="85"/>
      <c r="AE39" s="85"/>
      <c r="AF39" s="395"/>
      <c r="AG39" s="387"/>
      <c r="AH39" s="131"/>
      <c r="AI39" s="296"/>
      <c r="AJ39" s="85"/>
      <c r="AK39" s="85"/>
      <c r="AL39" s="85"/>
      <c r="AM39" s="85"/>
      <c r="AN39" s="140"/>
      <c r="AO39" s="85"/>
      <c r="AP39" s="115"/>
    </row>
    <row r="40" spans="2:42" x14ac:dyDescent="0.3">
      <c r="B40" s="372" t="s">
        <v>136</v>
      </c>
      <c r="C40" s="363" t="s">
        <v>131</v>
      </c>
      <c r="D40" s="299"/>
      <c r="E40" s="91"/>
      <c r="F40" s="91"/>
      <c r="G40" s="398"/>
      <c r="H40" s="419"/>
      <c r="I40" s="420"/>
      <c r="J40" s="299"/>
      <c r="K40" s="91"/>
      <c r="L40" s="91"/>
      <c r="M40" s="91"/>
      <c r="N40" s="91"/>
      <c r="O40" s="143"/>
      <c r="P40" s="91"/>
      <c r="Q40" s="91"/>
      <c r="R40" s="91"/>
      <c r="S40" s="91"/>
      <c r="T40" s="91"/>
      <c r="U40" s="91"/>
      <c r="V40" s="91"/>
      <c r="W40" s="91"/>
      <c r="X40" s="91"/>
      <c r="Y40" s="91"/>
      <c r="Z40" s="143"/>
      <c r="AA40" s="143"/>
      <c r="AB40" s="430"/>
      <c r="AC40" s="299"/>
      <c r="AD40" s="91"/>
      <c r="AE40" s="91"/>
      <c r="AF40" s="398"/>
      <c r="AG40" s="388"/>
      <c r="AH40" s="444"/>
      <c r="AI40" s="299"/>
      <c r="AJ40" s="91"/>
      <c r="AK40" s="91"/>
      <c r="AL40" s="91"/>
      <c r="AM40" s="91"/>
      <c r="AN40" s="143"/>
      <c r="AO40" s="91"/>
      <c r="AP40" s="300"/>
    </row>
    <row r="41" spans="2:42" ht="26.4" x14ac:dyDescent="0.3">
      <c r="B41" s="372" t="s">
        <v>137</v>
      </c>
      <c r="C41" s="367" t="s">
        <v>138</v>
      </c>
      <c r="D41" s="296"/>
      <c r="E41" s="85"/>
      <c r="F41" s="85"/>
      <c r="G41" s="394"/>
      <c r="H41" s="418"/>
      <c r="I41" s="396"/>
      <c r="J41" s="296"/>
      <c r="K41" s="85"/>
      <c r="L41" s="85"/>
      <c r="M41" s="126"/>
      <c r="N41" s="85"/>
      <c r="O41" s="114"/>
      <c r="P41" s="85"/>
      <c r="Q41" s="85"/>
      <c r="R41" s="85"/>
      <c r="S41" s="85"/>
      <c r="T41" s="85"/>
      <c r="U41" s="85"/>
      <c r="V41" s="85"/>
      <c r="W41" s="85"/>
      <c r="X41" s="85"/>
      <c r="Y41" s="85"/>
      <c r="Z41" s="114"/>
      <c r="AA41" s="114"/>
      <c r="AB41" s="378"/>
      <c r="AC41" s="296"/>
      <c r="AD41" s="85"/>
      <c r="AE41" s="85"/>
      <c r="AF41" s="394"/>
      <c r="AG41" s="387"/>
      <c r="AH41" s="131"/>
      <c r="AI41" s="296"/>
      <c r="AJ41" s="85"/>
      <c r="AK41" s="85"/>
      <c r="AL41" s="126"/>
      <c r="AM41" s="85"/>
      <c r="AN41" s="114"/>
      <c r="AO41" s="85"/>
      <c r="AP41" s="115"/>
    </row>
    <row r="42" spans="2:42" x14ac:dyDescent="0.3">
      <c r="B42" s="372" t="s">
        <v>140</v>
      </c>
      <c r="C42" s="363" t="s">
        <v>129</v>
      </c>
      <c r="D42" s="296"/>
      <c r="E42" s="85"/>
      <c r="F42" s="85"/>
      <c r="G42" s="395"/>
      <c r="H42" s="418"/>
      <c r="I42" s="396"/>
      <c r="J42" s="296"/>
      <c r="K42" s="85"/>
      <c r="L42" s="85"/>
      <c r="M42" s="126"/>
      <c r="N42" s="85"/>
      <c r="O42" s="114"/>
      <c r="P42" s="85"/>
      <c r="Q42" s="85"/>
      <c r="R42" s="85"/>
      <c r="S42" s="85"/>
      <c r="T42" s="85"/>
      <c r="U42" s="85"/>
      <c r="V42" s="85"/>
      <c r="W42" s="85"/>
      <c r="X42" s="85"/>
      <c r="Y42" s="85"/>
      <c r="Z42" s="114"/>
      <c r="AA42" s="114"/>
      <c r="AB42" s="378"/>
      <c r="AC42" s="296"/>
      <c r="AD42" s="85"/>
      <c r="AE42" s="85"/>
      <c r="AF42" s="395"/>
      <c r="AG42" s="387"/>
      <c r="AH42" s="131"/>
      <c r="AI42" s="296"/>
      <c r="AJ42" s="85"/>
      <c r="AK42" s="85"/>
      <c r="AL42" s="126"/>
      <c r="AM42" s="85"/>
      <c r="AN42" s="114"/>
      <c r="AO42" s="85"/>
      <c r="AP42" s="115"/>
    </row>
    <row r="43" spans="2:42" x14ac:dyDescent="0.3">
      <c r="B43" s="372" t="s">
        <v>141</v>
      </c>
      <c r="C43" s="363" t="s">
        <v>131</v>
      </c>
      <c r="D43" s="295"/>
      <c r="E43" s="84"/>
      <c r="F43" s="84"/>
      <c r="G43" s="395"/>
      <c r="H43" s="421"/>
      <c r="I43" s="396"/>
      <c r="J43" s="295"/>
      <c r="K43" s="84"/>
      <c r="L43" s="84"/>
      <c r="M43" s="129"/>
      <c r="N43" s="84"/>
      <c r="O43" s="113"/>
      <c r="P43" s="84"/>
      <c r="Q43" s="84"/>
      <c r="R43" s="84"/>
      <c r="S43" s="84"/>
      <c r="T43" s="84"/>
      <c r="U43" s="84"/>
      <c r="V43" s="84"/>
      <c r="W43" s="84"/>
      <c r="X43" s="84"/>
      <c r="Y43" s="84"/>
      <c r="Z43" s="113"/>
      <c r="AA43" s="113"/>
      <c r="AB43" s="396"/>
      <c r="AC43" s="295"/>
      <c r="AD43" s="84"/>
      <c r="AE43" s="84"/>
      <c r="AF43" s="395"/>
      <c r="AG43" s="389"/>
      <c r="AH43" s="131"/>
      <c r="AI43" s="295"/>
      <c r="AJ43" s="84"/>
      <c r="AK43" s="84"/>
      <c r="AL43" s="129"/>
      <c r="AM43" s="84"/>
      <c r="AN43" s="113"/>
      <c r="AO43" s="84"/>
      <c r="AP43" s="86"/>
    </row>
    <row r="44" spans="2:42" x14ac:dyDescent="0.3">
      <c r="B44" s="372" t="s">
        <v>142</v>
      </c>
      <c r="C44" s="366" t="s">
        <v>143</v>
      </c>
      <c r="D44" s="296"/>
      <c r="E44" s="85"/>
      <c r="F44" s="85"/>
      <c r="G44" s="394"/>
      <c r="H44" s="418"/>
      <c r="I44" s="393"/>
      <c r="J44" s="296"/>
      <c r="K44" s="85"/>
      <c r="L44" s="85"/>
      <c r="M44" s="126"/>
      <c r="N44" s="85"/>
      <c r="O44" s="132"/>
      <c r="P44" s="85"/>
      <c r="Q44" s="85"/>
      <c r="R44" s="85"/>
      <c r="S44" s="85"/>
      <c r="T44" s="85"/>
      <c r="U44" s="85"/>
      <c r="V44" s="85"/>
      <c r="W44" s="85"/>
      <c r="X44" s="85"/>
      <c r="Y44" s="85"/>
      <c r="Z44" s="114"/>
      <c r="AA44" s="114"/>
      <c r="AB44" s="378"/>
      <c r="AC44" s="296"/>
      <c r="AD44" s="85"/>
      <c r="AE44" s="85"/>
      <c r="AF44" s="394"/>
      <c r="AG44" s="387"/>
      <c r="AH44" s="445"/>
      <c r="AI44" s="296"/>
      <c r="AJ44" s="85"/>
      <c r="AK44" s="85"/>
      <c r="AL44" s="126"/>
      <c r="AM44" s="85"/>
      <c r="AN44" s="132"/>
      <c r="AO44" s="85"/>
      <c r="AP44" s="115"/>
    </row>
    <row r="45" spans="2:42" x14ac:dyDescent="0.3">
      <c r="B45" s="372" t="s">
        <v>145</v>
      </c>
      <c r="C45" s="363" t="s">
        <v>146</v>
      </c>
      <c r="D45" s="296"/>
      <c r="E45" s="85"/>
      <c r="F45" s="85"/>
      <c r="G45" s="394"/>
      <c r="H45" s="418"/>
      <c r="I45" s="393"/>
      <c r="J45" s="296"/>
      <c r="K45" s="85"/>
      <c r="L45" s="85"/>
      <c r="M45" s="126"/>
      <c r="N45" s="85"/>
      <c r="O45" s="132"/>
      <c r="P45" s="85"/>
      <c r="Q45" s="85"/>
      <c r="R45" s="85"/>
      <c r="S45" s="85"/>
      <c r="T45" s="85"/>
      <c r="U45" s="85"/>
      <c r="V45" s="85"/>
      <c r="W45" s="85"/>
      <c r="X45" s="85"/>
      <c r="Y45" s="85"/>
      <c r="Z45" s="114"/>
      <c r="AA45" s="114"/>
      <c r="AB45" s="378"/>
      <c r="AC45" s="296"/>
      <c r="AD45" s="85"/>
      <c r="AE45" s="85"/>
      <c r="AF45" s="394"/>
      <c r="AG45" s="387"/>
      <c r="AH45" s="445"/>
      <c r="AI45" s="296"/>
      <c r="AJ45" s="85"/>
      <c r="AK45" s="85"/>
      <c r="AL45" s="126"/>
      <c r="AM45" s="85"/>
      <c r="AN45" s="132"/>
      <c r="AO45" s="85"/>
      <c r="AP45" s="115"/>
    </row>
    <row r="46" spans="2:42" x14ac:dyDescent="0.3">
      <c r="B46" s="372">
        <v>420</v>
      </c>
      <c r="C46" s="366" t="s">
        <v>148</v>
      </c>
      <c r="D46" s="296"/>
      <c r="E46" s="85"/>
      <c r="F46" s="85"/>
      <c r="G46" s="115"/>
      <c r="H46" s="296"/>
      <c r="I46" s="115"/>
      <c r="J46" s="296"/>
      <c r="K46" s="85"/>
      <c r="L46" s="85"/>
      <c r="M46" s="144"/>
      <c r="N46" s="85"/>
      <c r="O46" s="85"/>
      <c r="P46" s="85"/>
      <c r="Q46" s="85"/>
      <c r="R46" s="85"/>
      <c r="S46" s="85"/>
      <c r="T46" s="85"/>
      <c r="U46" s="85"/>
      <c r="V46" s="85"/>
      <c r="W46" s="85"/>
      <c r="X46" s="85"/>
      <c r="Y46" s="85"/>
      <c r="Z46" s="114"/>
      <c r="AA46" s="114"/>
      <c r="AB46" s="378"/>
      <c r="AC46" s="296"/>
      <c r="AD46" s="85"/>
      <c r="AE46" s="85"/>
      <c r="AF46" s="115"/>
      <c r="AG46" s="87"/>
      <c r="AH46" s="133"/>
      <c r="AI46" s="296"/>
      <c r="AJ46" s="85"/>
      <c r="AK46" s="85"/>
      <c r="AL46" s="144"/>
      <c r="AM46" s="85"/>
      <c r="AN46" s="85"/>
      <c r="AO46" s="85"/>
      <c r="AP46" s="115"/>
    </row>
    <row r="47" spans="2:42" x14ac:dyDescent="0.3">
      <c r="B47" s="372" t="s">
        <v>150</v>
      </c>
      <c r="C47" s="368" t="s">
        <v>100</v>
      </c>
      <c r="D47" s="296"/>
      <c r="E47" s="85"/>
      <c r="F47" s="85"/>
      <c r="G47" s="115"/>
      <c r="H47" s="296"/>
      <c r="I47" s="115"/>
      <c r="J47" s="296"/>
      <c r="K47" s="85"/>
      <c r="L47" s="85"/>
      <c r="M47" s="144"/>
      <c r="N47" s="85"/>
      <c r="O47" s="85"/>
      <c r="P47" s="85"/>
      <c r="Q47" s="85"/>
      <c r="R47" s="85"/>
      <c r="S47" s="85"/>
      <c r="T47" s="85"/>
      <c r="U47" s="85"/>
      <c r="V47" s="85"/>
      <c r="W47" s="85"/>
      <c r="X47" s="85"/>
      <c r="Y47" s="85"/>
      <c r="Z47" s="114"/>
      <c r="AA47" s="114"/>
      <c r="AB47" s="378"/>
      <c r="AC47" s="296"/>
      <c r="AD47" s="85"/>
      <c r="AE47" s="85"/>
      <c r="AF47" s="115"/>
      <c r="AG47" s="87"/>
      <c r="AH47" s="133"/>
      <c r="AI47" s="296"/>
      <c r="AJ47" s="85"/>
      <c r="AK47" s="85"/>
      <c r="AL47" s="144"/>
      <c r="AM47" s="85"/>
      <c r="AN47" s="85"/>
      <c r="AO47" s="85"/>
      <c r="AP47" s="115"/>
    </row>
    <row r="48" spans="2:42" x14ac:dyDescent="0.3">
      <c r="B48" s="372" t="s">
        <v>151</v>
      </c>
      <c r="C48" s="368" t="s">
        <v>102</v>
      </c>
      <c r="D48" s="296"/>
      <c r="E48" s="140"/>
      <c r="F48" s="140"/>
      <c r="G48" s="378"/>
      <c r="H48" s="422"/>
      <c r="I48" s="416"/>
      <c r="J48" s="296"/>
      <c r="K48" s="85"/>
      <c r="L48" s="85"/>
      <c r="M48" s="144"/>
      <c r="N48" s="85"/>
      <c r="O48" s="85"/>
      <c r="P48" s="85"/>
      <c r="Q48" s="85"/>
      <c r="R48" s="85"/>
      <c r="S48" s="85"/>
      <c r="T48" s="85"/>
      <c r="U48" s="85"/>
      <c r="V48" s="85"/>
      <c r="W48" s="85"/>
      <c r="X48" s="85"/>
      <c r="Y48" s="85"/>
      <c r="Z48" s="114"/>
      <c r="AA48" s="114"/>
      <c r="AB48" s="378"/>
      <c r="AC48" s="296"/>
      <c r="AD48" s="140"/>
      <c r="AE48" s="140"/>
      <c r="AF48" s="378"/>
      <c r="AG48" s="390"/>
      <c r="AH48" s="142"/>
      <c r="AI48" s="296"/>
      <c r="AJ48" s="85"/>
      <c r="AK48" s="85"/>
      <c r="AL48" s="144"/>
      <c r="AM48" s="85"/>
      <c r="AN48" s="85"/>
      <c r="AO48" s="85"/>
      <c r="AP48" s="115"/>
    </row>
    <row r="49" spans="2:42" x14ac:dyDescent="0.3">
      <c r="B49" s="372" t="s">
        <v>152</v>
      </c>
      <c r="C49" s="368" t="s">
        <v>103</v>
      </c>
      <c r="D49" s="296"/>
      <c r="E49" s="140"/>
      <c r="F49" s="140"/>
      <c r="G49" s="378"/>
      <c r="H49" s="422"/>
      <c r="I49" s="416"/>
      <c r="J49" s="296"/>
      <c r="K49" s="85"/>
      <c r="L49" s="85"/>
      <c r="M49" s="144"/>
      <c r="N49" s="85"/>
      <c r="O49" s="85"/>
      <c r="P49" s="85"/>
      <c r="Q49" s="85"/>
      <c r="R49" s="85"/>
      <c r="S49" s="85"/>
      <c r="T49" s="85"/>
      <c r="U49" s="85"/>
      <c r="V49" s="85"/>
      <c r="W49" s="85"/>
      <c r="X49" s="85"/>
      <c r="Y49" s="85"/>
      <c r="Z49" s="114"/>
      <c r="AA49" s="114"/>
      <c r="AB49" s="378"/>
      <c r="AC49" s="296"/>
      <c r="AD49" s="140"/>
      <c r="AE49" s="140"/>
      <c r="AF49" s="378"/>
      <c r="AG49" s="390"/>
      <c r="AH49" s="142"/>
      <c r="AI49" s="296"/>
      <c r="AJ49" s="85"/>
      <c r="AK49" s="85"/>
      <c r="AL49" s="144"/>
      <c r="AM49" s="85"/>
      <c r="AN49" s="85"/>
      <c r="AO49" s="85"/>
      <c r="AP49" s="115"/>
    </row>
    <row r="50" spans="2:42" ht="31.95" customHeight="1" x14ac:dyDescent="0.3">
      <c r="B50" s="374" t="s">
        <v>153</v>
      </c>
      <c r="C50" s="362" t="s">
        <v>105</v>
      </c>
      <c r="D50" s="296"/>
      <c r="E50" s="114"/>
      <c r="F50" s="114"/>
      <c r="G50" s="396"/>
      <c r="H50" s="413"/>
      <c r="I50" s="378"/>
      <c r="J50" s="428"/>
      <c r="K50" s="85"/>
      <c r="L50" s="85"/>
      <c r="M50" s="126"/>
      <c r="N50" s="85"/>
      <c r="O50" s="85"/>
      <c r="P50" s="85"/>
      <c r="Q50" s="85"/>
      <c r="R50" s="85"/>
      <c r="S50" s="85"/>
      <c r="T50" s="85"/>
      <c r="U50" s="85"/>
      <c r="V50" s="85"/>
      <c r="W50" s="85"/>
      <c r="X50" s="85"/>
      <c r="Y50" s="85"/>
      <c r="Z50" s="114"/>
      <c r="AA50" s="114"/>
      <c r="AB50" s="378"/>
      <c r="AC50" s="296"/>
      <c r="AD50" s="114"/>
      <c r="AE50" s="114"/>
      <c r="AF50" s="396"/>
      <c r="AG50" s="385"/>
      <c r="AH50" s="128"/>
      <c r="AI50" s="428"/>
      <c r="AJ50" s="85"/>
      <c r="AK50" s="85"/>
      <c r="AL50" s="126"/>
      <c r="AM50" s="85"/>
      <c r="AN50" s="85"/>
      <c r="AO50" s="85"/>
      <c r="AP50" s="115"/>
    </row>
    <row r="51" spans="2:42" x14ac:dyDescent="0.3">
      <c r="B51" s="372">
        <v>490</v>
      </c>
      <c r="C51" s="363" t="s">
        <v>107</v>
      </c>
      <c r="D51" s="296"/>
      <c r="E51" s="113"/>
      <c r="F51" s="113"/>
      <c r="G51" s="396"/>
      <c r="H51" s="414"/>
      <c r="I51" s="396"/>
      <c r="J51" s="428"/>
      <c r="K51" s="140"/>
      <c r="L51" s="140"/>
      <c r="M51" s="145"/>
      <c r="N51" s="140"/>
      <c r="O51" s="140"/>
      <c r="P51" s="85"/>
      <c r="Q51" s="85"/>
      <c r="R51" s="85"/>
      <c r="S51" s="85"/>
      <c r="T51" s="85"/>
      <c r="U51" s="85"/>
      <c r="V51" s="85"/>
      <c r="W51" s="85"/>
      <c r="X51" s="85"/>
      <c r="Y51" s="85"/>
      <c r="Z51" s="132"/>
      <c r="AA51" s="132"/>
      <c r="AB51" s="380"/>
      <c r="AC51" s="296"/>
      <c r="AD51" s="113"/>
      <c r="AE51" s="113"/>
      <c r="AF51" s="396"/>
      <c r="AG51" s="112"/>
      <c r="AH51" s="131"/>
      <c r="AI51" s="428"/>
      <c r="AJ51" s="140"/>
      <c r="AK51" s="140"/>
      <c r="AL51" s="145"/>
      <c r="AM51" s="140"/>
      <c r="AN51" s="140"/>
      <c r="AO51" s="85"/>
      <c r="AP51" s="115"/>
    </row>
    <row r="52" spans="2:42" x14ac:dyDescent="0.3">
      <c r="B52" s="372">
        <v>500</v>
      </c>
      <c r="C52" s="363" t="s">
        <v>157</v>
      </c>
      <c r="D52" s="296"/>
      <c r="E52" s="113"/>
      <c r="F52" s="113"/>
      <c r="G52" s="396"/>
      <c r="H52" s="414"/>
      <c r="I52" s="396"/>
      <c r="J52" s="428"/>
      <c r="K52" s="140"/>
      <c r="L52" s="140"/>
      <c r="M52" s="145"/>
      <c r="N52" s="140"/>
      <c r="O52" s="140"/>
      <c r="P52" s="85"/>
      <c r="Q52" s="85"/>
      <c r="R52" s="85"/>
      <c r="S52" s="85"/>
      <c r="T52" s="85"/>
      <c r="U52" s="85"/>
      <c r="V52" s="85"/>
      <c r="W52" s="85"/>
      <c r="X52" s="85"/>
      <c r="Y52" s="85"/>
      <c r="Z52" s="132"/>
      <c r="AA52" s="132"/>
      <c r="AB52" s="380"/>
      <c r="AC52" s="296"/>
      <c r="AD52" s="113"/>
      <c r="AE52" s="113"/>
      <c r="AF52" s="396"/>
      <c r="AG52" s="112"/>
      <c r="AH52" s="131"/>
      <c r="AI52" s="428"/>
      <c r="AJ52" s="140"/>
      <c r="AK52" s="140"/>
      <c r="AL52" s="145"/>
      <c r="AM52" s="140"/>
      <c r="AN52" s="140"/>
      <c r="AO52" s="85"/>
      <c r="AP52" s="115"/>
    </row>
    <row r="53" spans="2:42" x14ac:dyDescent="0.3">
      <c r="B53" s="372">
        <v>510</v>
      </c>
      <c r="C53" s="366" t="s">
        <v>111</v>
      </c>
      <c r="D53" s="296"/>
      <c r="E53" s="85"/>
      <c r="F53" s="85"/>
      <c r="G53" s="115"/>
      <c r="H53" s="296"/>
      <c r="I53" s="115"/>
      <c r="J53" s="296"/>
      <c r="K53" s="85"/>
      <c r="L53" s="85"/>
      <c r="M53" s="85"/>
      <c r="N53" s="85"/>
      <c r="O53" s="85"/>
      <c r="P53" s="85"/>
      <c r="Q53" s="85"/>
      <c r="R53" s="85"/>
      <c r="S53" s="85"/>
      <c r="T53" s="85"/>
      <c r="U53" s="85"/>
      <c r="V53" s="85"/>
      <c r="W53" s="85"/>
      <c r="X53" s="85"/>
      <c r="Y53" s="85"/>
      <c r="Z53" s="132"/>
      <c r="AA53" s="132"/>
      <c r="AB53" s="380"/>
      <c r="AC53" s="296"/>
      <c r="AD53" s="85"/>
      <c r="AE53" s="85"/>
      <c r="AF53" s="115"/>
      <c r="AG53" s="87"/>
      <c r="AH53" s="133"/>
      <c r="AI53" s="296"/>
      <c r="AJ53" s="85"/>
      <c r="AK53" s="85"/>
      <c r="AL53" s="85"/>
      <c r="AM53" s="85"/>
      <c r="AN53" s="85"/>
      <c r="AO53" s="85"/>
      <c r="AP53" s="115"/>
    </row>
    <row r="54" spans="2:42" x14ac:dyDescent="0.3">
      <c r="B54" s="374">
        <v>520</v>
      </c>
      <c r="C54" s="365" t="s">
        <v>160</v>
      </c>
      <c r="D54" s="399"/>
      <c r="E54" s="146"/>
      <c r="F54" s="146"/>
      <c r="G54" s="375"/>
      <c r="H54" s="399"/>
      <c r="I54" s="375"/>
      <c r="J54" s="399"/>
      <c r="K54" s="146"/>
      <c r="L54" s="146"/>
      <c r="M54" s="146"/>
      <c r="N54" s="146"/>
      <c r="O54" s="146"/>
      <c r="P54" s="146"/>
      <c r="Q54" s="146"/>
      <c r="R54" s="146"/>
      <c r="S54" s="146"/>
      <c r="T54" s="146"/>
      <c r="U54" s="146"/>
      <c r="V54" s="146"/>
      <c r="W54" s="146"/>
      <c r="X54" s="146"/>
      <c r="Y54" s="146"/>
      <c r="Z54" s="135"/>
      <c r="AA54" s="135"/>
      <c r="AB54" s="431"/>
      <c r="AC54" s="399"/>
      <c r="AD54" s="146"/>
      <c r="AE54" s="146"/>
      <c r="AF54" s="375"/>
      <c r="AG54" s="391"/>
      <c r="AH54" s="446"/>
      <c r="AI54" s="399"/>
      <c r="AJ54" s="146"/>
      <c r="AK54" s="146"/>
      <c r="AL54" s="146"/>
      <c r="AM54" s="146"/>
      <c r="AN54" s="146"/>
      <c r="AO54" s="146"/>
      <c r="AP54" s="375"/>
    </row>
    <row r="55" spans="2:42" ht="15" thickBot="1" x14ac:dyDescent="0.35">
      <c r="B55" s="372">
        <v>530</v>
      </c>
      <c r="C55" s="365" t="s">
        <v>162</v>
      </c>
      <c r="D55" s="400"/>
      <c r="E55" s="401"/>
      <c r="F55" s="401"/>
      <c r="G55" s="402"/>
      <c r="H55" s="400"/>
      <c r="I55" s="423"/>
      <c r="J55" s="400"/>
      <c r="K55" s="401"/>
      <c r="L55" s="401"/>
      <c r="M55" s="401"/>
      <c r="N55" s="401"/>
      <c r="O55" s="401"/>
      <c r="P55" s="401"/>
      <c r="Q55" s="401"/>
      <c r="R55" s="401"/>
      <c r="S55" s="401"/>
      <c r="T55" s="401"/>
      <c r="U55" s="401"/>
      <c r="V55" s="401"/>
      <c r="W55" s="401"/>
      <c r="X55" s="401"/>
      <c r="Y55" s="401"/>
      <c r="Z55" s="432"/>
      <c r="AA55" s="432"/>
      <c r="AB55" s="433"/>
      <c r="AC55" s="400"/>
      <c r="AD55" s="401"/>
      <c r="AE55" s="401"/>
      <c r="AF55" s="402"/>
      <c r="AG55" s="391"/>
      <c r="AH55" s="446"/>
      <c r="AI55" s="400"/>
      <c r="AJ55" s="401"/>
      <c r="AK55" s="401"/>
      <c r="AL55" s="401"/>
      <c r="AM55" s="401"/>
      <c r="AN55" s="401"/>
      <c r="AO55" s="401"/>
      <c r="AP55" s="423"/>
    </row>
    <row r="56" spans="2:42" ht="14.4" customHeight="1" thickBot="1" x14ac:dyDescent="0.35">
      <c r="B56" s="639" t="s">
        <v>163</v>
      </c>
      <c r="C56" s="640"/>
      <c r="D56" s="640"/>
      <c r="E56" s="640"/>
      <c r="F56" s="640"/>
      <c r="G56" s="640"/>
      <c r="H56" s="640"/>
      <c r="I56" s="640"/>
      <c r="J56" s="640"/>
      <c r="K56" s="640"/>
      <c r="L56" s="640"/>
      <c r="M56" s="640"/>
      <c r="N56" s="640"/>
      <c r="O56" s="640"/>
      <c r="P56" s="640"/>
      <c r="Q56" s="640"/>
      <c r="R56" s="640"/>
      <c r="S56" s="640"/>
      <c r="T56" s="640"/>
      <c r="U56" s="640"/>
      <c r="V56" s="640"/>
      <c r="W56" s="640"/>
      <c r="X56" s="640"/>
      <c r="Y56" s="640"/>
      <c r="Z56" s="640"/>
      <c r="AA56" s="640"/>
      <c r="AB56" s="640"/>
      <c r="AC56" s="640"/>
      <c r="AD56" s="640"/>
      <c r="AE56" s="640"/>
      <c r="AF56" s="640"/>
      <c r="AG56" s="640"/>
      <c r="AH56" s="640"/>
      <c r="AI56" s="640"/>
      <c r="AJ56" s="640"/>
      <c r="AK56" s="640"/>
      <c r="AL56" s="640"/>
      <c r="AM56" s="640"/>
      <c r="AN56" s="640"/>
      <c r="AO56" s="640"/>
      <c r="AP56" s="641"/>
    </row>
    <row r="57" spans="2:42" x14ac:dyDescent="0.3">
      <c r="B57" s="376" t="s">
        <v>170</v>
      </c>
      <c r="C57" s="369" t="s">
        <v>171</v>
      </c>
      <c r="D57" s="405"/>
      <c r="E57" s="406"/>
      <c r="F57" s="406"/>
      <c r="G57" s="407"/>
      <c r="H57" s="424"/>
      <c r="I57" s="407"/>
      <c r="J57" s="434"/>
      <c r="K57" s="435"/>
      <c r="L57" s="435"/>
      <c r="M57" s="435"/>
      <c r="N57" s="435"/>
      <c r="O57" s="435"/>
      <c r="P57" s="435"/>
      <c r="Q57" s="435"/>
      <c r="R57" s="435"/>
      <c r="S57" s="435"/>
      <c r="T57" s="435"/>
      <c r="U57" s="435"/>
      <c r="V57" s="435"/>
      <c r="W57" s="435"/>
      <c r="X57" s="435"/>
      <c r="Y57" s="435"/>
      <c r="Z57" s="436"/>
      <c r="AA57" s="436"/>
      <c r="AB57" s="437"/>
      <c r="AC57" s="405"/>
      <c r="AD57" s="406"/>
      <c r="AE57" s="406"/>
      <c r="AF57" s="407"/>
      <c r="AG57" s="112"/>
      <c r="AH57" s="131"/>
      <c r="AI57" s="434"/>
      <c r="AJ57" s="435"/>
      <c r="AK57" s="435"/>
      <c r="AL57" s="435"/>
      <c r="AM57" s="435"/>
      <c r="AN57" s="435"/>
      <c r="AO57" s="435"/>
      <c r="AP57" s="448"/>
    </row>
    <row r="58" spans="2:42" x14ac:dyDescent="0.3">
      <c r="B58" s="376" t="s">
        <v>172</v>
      </c>
      <c r="C58" s="363" t="s">
        <v>104</v>
      </c>
      <c r="D58" s="296"/>
      <c r="E58" s="113"/>
      <c r="F58" s="113"/>
      <c r="G58" s="396"/>
      <c r="H58" s="414"/>
      <c r="I58" s="396"/>
      <c r="J58" s="413"/>
      <c r="K58" s="114"/>
      <c r="L58" s="114"/>
      <c r="M58" s="114"/>
      <c r="N58" s="114"/>
      <c r="O58" s="114"/>
      <c r="P58" s="114"/>
      <c r="Q58" s="114"/>
      <c r="R58" s="114"/>
      <c r="S58" s="114"/>
      <c r="T58" s="114"/>
      <c r="U58" s="114"/>
      <c r="V58" s="114"/>
      <c r="W58" s="114"/>
      <c r="X58" s="114"/>
      <c r="Y58" s="114"/>
      <c r="Z58" s="85"/>
      <c r="AA58" s="85"/>
      <c r="AB58" s="115"/>
      <c r="AC58" s="296"/>
      <c r="AD58" s="113"/>
      <c r="AE58" s="113"/>
      <c r="AF58" s="396"/>
      <c r="AG58" s="112"/>
      <c r="AH58" s="131"/>
      <c r="AI58" s="413"/>
      <c r="AJ58" s="114"/>
      <c r="AK58" s="114"/>
      <c r="AL58" s="114"/>
      <c r="AM58" s="114"/>
      <c r="AN58" s="114"/>
      <c r="AO58" s="114"/>
      <c r="AP58" s="378"/>
    </row>
    <row r="59" spans="2:42" x14ac:dyDescent="0.3">
      <c r="B59" s="379" t="s">
        <v>173</v>
      </c>
      <c r="C59" s="363" t="s">
        <v>174</v>
      </c>
      <c r="D59" s="296"/>
      <c r="E59" s="113"/>
      <c r="F59" s="113"/>
      <c r="G59" s="396"/>
      <c r="H59" s="414"/>
      <c r="I59" s="396"/>
      <c r="J59" s="413"/>
      <c r="K59" s="114"/>
      <c r="L59" s="114"/>
      <c r="M59" s="114"/>
      <c r="N59" s="114"/>
      <c r="O59" s="114"/>
      <c r="P59" s="114"/>
      <c r="Q59" s="114"/>
      <c r="R59" s="114"/>
      <c r="S59" s="114"/>
      <c r="T59" s="114"/>
      <c r="U59" s="114"/>
      <c r="V59" s="114"/>
      <c r="W59" s="114"/>
      <c r="X59" s="114"/>
      <c r="Y59" s="114"/>
      <c r="Z59" s="85"/>
      <c r="AA59" s="85"/>
      <c r="AB59" s="115"/>
      <c r="AC59" s="296"/>
      <c r="AD59" s="113"/>
      <c r="AE59" s="113"/>
      <c r="AF59" s="396"/>
      <c r="AG59" s="112"/>
      <c r="AH59" s="131"/>
      <c r="AI59" s="413"/>
      <c r="AJ59" s="114"/>
      <c r="AK59" s="114"/>
      <c r="AL59" s="114"/>
      <c r="AM59" s="114"/>
      <c r="AN59" s="114"/>
      <c r="AO59" s="114"/>
      <c r="AP59" s="378"/>
    </row>
    <row r="60" spans="2:42" x14ac:dyDescent="0.3">
      <c r="B60" s="376" t="s">
        <v>175</v>
      </c>
      <c r="C60" s="363" t="s">
        <v>111</v>
      </c>
      <c r="D60" s="296"/>
      <c r="E60" s="113"/>
      <c r="F60" s="113"/>
      <c r="G60" s="396"/>
      <c r="H60" s="414"/>
      <c r="I60" s="396"/>
      <c r="J60" s="438"/>
      <c r="K60" s="114"/>
      <c r="L60" s="114"/>
      <c r="M60" s="114"/>
      <c r="N60" s="114"/>
      <c r="O60" s="114"/>
      <c r="P60" s="114"/>
      <c r="Q60" s="114"/>
      <c r="R60" s="114"/>
      <c r="S60" s="114"/>
      <c r="T60" s="114"/>
      <c r="U60" s="114"/>
      <c r="V60" s="114"/>
      <c r="W60" s="114"/>
      <c r="X60" s="114"/>
      <c r="Y60" s="114"/>
      <c r="Z60" s="85"/>
      <c r="AA60" s="85"/>
      <c r="AB60" s="115"/>
      <c r="AC60" s="296"/>
      <c r="AD60" s="113"/>
      <c r="AE60" s="113"/>
      <c r="AF60" s="396"/>
      <c r="AG60" s="112"/>
      <c r="AH60" s="131"/>
      <c r="AI60" s="438"/>
      <c r="AJ60" s="114"/>
      <c r="AK60" s="114"/>
      <c r="AL60" s="114"/>
      <c r="AM60" s="114"/>
      <c r="AN60" s="114"/>
      <c r="AO60" s="114"/>
      <c r="AP60" s="378"/>
    </row>
    <row r="61" spans="2:42" x14ac:dyDescent="0.3">
      <c r="B61" s="376" t="s">
        <v>176</v>
      </c>
      <c r="C61" s="370" t="s">
        <v>177</v>
      </c>
      <c r="D61" s="296"/>
      <c r="E61" s="113"/>
      <c r="F61" s="113"/>
      <c r="G61" s="396"/>
      <c r="H61" s="414"/>
      <c r="I61" s="396"/>
      <c r="J61" s="438"/>
      <c r="K61" s="114"/>
      <c r="L61" s="114"/>
      <c r="M61" s="114"/>
      <c r="N61" s="114"/>
      <c r="O61" s="114"/>
      <c r="P61" s="114"/>
      <c r="Q61" s="114"/>
      <c r="R61" s="114"/>
      <c r="S61" s="114"/>
      <c r="T61" s="114"/>
      <c r="U61" s="114"/>
      <c r="V61" s="114"/>
      <c r="W61" s="114"/>
      <c r="X61" s="114"/>
      <c r="Y61" s="114"/>
      <c r="Z61" s="85"/>
      <c r="AA61" s="85"/>
      <c r="AB61" s="115"/>
      <c r="AC61" s="296"/>
      <c r="AD61" s="113"/>
      <c r="AE61" s="113"/>
      <c r="AF61" s="396"/>
      <c r="AG61" s="112"/>
      <c r="AH61" s="131"/>
      <c r="AI61" s="438"/>
      <c r="AJ61" s="114"/>
      <c r="AK61" s="114"/>
      <c r="AL61" s="114"/>
      <c r="AM61" s="114"/>
      <c r="AN61" s="114"/>
      <c r="AO61" s="114"/>
      <c r="AP61" s="378"/>
    </row>
    <row r="62" spans="2:42" x14ac:dyDescent="0.3">
      <c r="B62" s="379" t="s">
        <v>178</v>
      </c>
      <c r="C62" s="363" t="s">
        <v>121</v>
      </c>
      <c r="D62" s="296"/>
      <c r="E62" s="113"/>
      <c r="F62" s="113"/>
      <c r="G62" s="396"/>
      <c r="H62" s="414"/>
      <c r="I62" s="396"/>
      <c r="J62" s="296"/>
      <c r="K62" s="114"/>
      <c r="L62" s="114"/>
      <c r="M62" s="114"/>
      <c r="N62" s="114"/>
      <c r="O62" s="114"/>
      <c r="P62" s="114"/>
      <c r="Q62" s="114"/>
      <c r="R62" s="114"/>
      <c r="S62" s="114"/>
      <c r="T62" s="114"/>
      <c r="U62" s="114"/>
      <c r="V62" s="114"/>
      <c r="W62" s="114"/>
      <c r="X62" s="114"/>
      <c r="Y62" s="114"/>
      <c r="Z62" s="85"/>
      <c r="AA62" s="85"/>
      <c r="AB62" s="115"/>
      <c r="AC62" s="296"/>
      <c r="AD62" s="113"/>
      <c r="AE62" s="113"/>
      <c r="AF62" s="396"/>
      <c r="AG62" s="112"/>
      <c r="AH62" s="131"/>
      <c r="AI62" s="296"/>
      <c r="AJ62" s="114"/>
      <c r="AK62" s="114"/>
      <c r="AL62" s="114"/>
      <c r="AM62" s="114"/>
      <c r="AN62" s="114"/>
      <c r="AO62" s="114"/>
      <c r="AP62" s="378"/>
    </row>
    <row r="63" spans="2:42" x14ac:dyDescent="0.3">
      <c r="B63" s="376" t="s">
        <v>179</v>
      </c>
      <c r="C63" s="363" t="s">
        <v>174</v>
      </c>
      <c r="D63" s="296"/>
      <c r="E63" s="124"/>
      <c r="F63" s="124"/>
      <c r="G63" s="393"/>
      <c r="H63" s="425"/>
      <c r="I63" s="393"/>
      <c r="J63" s="296"/>
      <c r="K63" s="132"/>
      <c r="L63" s="132"/>
      <c r="M63" s="132"/>
      <c r="N63" s="132"/>
      <c r="O63" s="132"/>
      <c r="P63" s="132"/>
      <c r="Q63" s="132"/>
      <c r="R63" s="132"/>
      <c r="S63" s="132"/>
      <c r="T63" s="132"/>
      <c r="U63" s="132"/>
      <c r="V63" s="132"/>
      <c r="W63" s="132"/>
      <c r="X63" s="132"/>
      <c r="Y63" s="132"/>
      <c r="Z63" s="85"/>
      <c r="AA63" s="85"/>
      <c r="AB63" s="115"/>
      <c r="AC63" s="296"/>
      <c r="AD63" s="124"/>
      <c r="AE63" s="124"/>
      <c r="AF63" s="393"/>
      <c r="AG63" s="403"/>
      <c r="AH63" s="445"/>
      <c r="AI63" s="296"/>
      <c r="AJ63" s="132"/>
      <c r="AK63" s="132"/>
      <c r="AL63" s="132"/>
      <c r="AM63" s="132"/>
      <c r="AN63" s="132"/>
      <c r="AO63" s="132"/>
      <c r="AP63" s="380"/>
    </row>
    <row r="64" spans="2:42" ht="15" thickBot="1" x14ac:dyDescent="0.35">
      <c r="B64" s="381" t="s">
        <v>180</v>
      </c>
      <c r="C64" s="371" t="s">
        <v>111</v>
      </c>
      <c r="D64" s="408"/>
      <c r="E64" s="147"/>
      <c r="F64" s="147"/>
      <c r="G64" s="409"/>
      <c r="H64" s="426"/>
      <c r="I64" s="409"/>
      <c r="J64" s="408"/>
      <c r="K64" s="148"/>
      <c r="L64" s="148"/>
      <c r="M64" s="148"/>
      <c r="N64" s="148"/>
      <c r="O64" s="148"/>
      <c r="P64" s="148"/>
      <c r="Q64" s="148"/>
      <c r="R64" s="148"/>
      <c r="S64" s="148"/>
      <c r="T64" s="148"/>
      <c r="U64" s="148"/>
      <c r="V64" s="148"/>
      <c r="W64" s="148"/>
      <c r="X64" s="148"/>
      <c r="Y64" s="148"/>
      <c r="Z64" s="117"/>
      <c r="AA64" s="117"/>
      <c r="AB64" s="118"/>
      <c r="AC64" s="408"/>
      <c r="AD64" s="147"/>
      <c r="AE64" s="147"/>
      <c r="AF64" s="409"/>
      <c r="AG64" s="404"/>
      <c r="AH64" s="447"/>
      <c r="AI64" s="408"/>
      <c r="AJ64" s="148"/>
      <c r="AK64" s="148"/>
      <c r="AL64" s="148"/>
      <c r="AM64" s="148"/>
      <c r="AN64" s="148"/>
      <c r="AO64" s="148"/>
      <c r="AP64" s="382"/>
    </row>
  </sheetData>
  <sheetProtection algorithmName="SHA-512" hashValue="3RX128GNx/uwkP5R9cgR7zAUEyCwdYU7jGnPSQM63PJokx15oETm9nRcUJMDn5NJd6yoXPXGiRUTueKFP2a7cw==" saltValue="1oMNW3WgGCcML+3+o93rFQ==" spinCount="100000" sheet="1" objects="1" scenarios="1"/>
  <mergeCells count="46">
    <mergeCell ref="AP9:AP11"/>
    <mergeCell ref="K9:K11"/>
    <mergeCell ref="D8:G9"/>
    <mergeCell ref="D10:D11"/>
    <mergeCell ref="E10:F10"/>
    <mergeCell ref="G10:G11"/>
    <mergeCell ref="J9:J11"/>
    <mergeCell ref="W9:W11"/>
    <mergeCell ref="X9:X11"/>
    <mergeCell ref="Q9:Q11"/>
    <mergeCell ref="R9:R11"/>
    <mergeCell ref="S9:S11"/>
    <mergeCell ref="T9:T11"/>
    <mergeCell ref="U9:U11"/>
    <mergeCell ref="B2:AP2"/>
    <mergeCell ref="B7:C12"/>
    <mergeCell ref="D7:AB7"/>
    <mergeCell ref="AC7:AP7"/>
    <mergeCell ref="H8:H11"/>
    <mergeCell ref="I8:I11"/>
    <mergeCell ref="J8:AB8"/>
    <mergeCell ref="AG8:AG11"/>
    <mergeCell ref="AJ9:AJ11"/>
    <mergeCell ref="AK9:AK11"/>
    <mergeCell ref="V9:V11"/>
    <mergeCell ref="AO9:AO11"/>
    <mergeCell ref="AC8:AF9"/>
    <mergeCell ref="AC10:AC11"/>
    <mergeCell ref="AD10:AE10"/>
    <mergeCell ref="AF10:AF11"/>
    <mergeCell ref="B56:AP56"/>
    <mergeCell ref="L9:L11"/>
    <mergeCell ref="AL9:AL11"/>
    <mergeCell ref="AM9:AM11"/>
    <mergeCell ref="AN9:AN11"/>
    <mergeCell ref="AH8:AH11"/>
    <mergeCell ref="AI8:AP8"/>
    <mergeCell ref="Y9:Y11"/>
    <mergeCell ref="Z9:Z11"/>
    <mergeCell ref="AA9:AA11"/>
    <mergeCell ref="M9:M11"/>
    <mergeCell ref="N9:N11"/>
    <mergeCell ref="O9:O11"/>
    <mergeCell ref="AB9:AB11"/>
    <mergeCell ref="AI9:AI11"/>
    <mergeCell ref="P9:P11"/>
  </mergeCells>
  <pageMargins left="0.25" right="0.25" top="0.75" bottom="0.75" header="0.3" footer="0.3"/>
  <pageSetup paperSize="9"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c70a3f4-6e08-44db-bcbd-67d9fc0e857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91DBB75643384E890D3F447B4AA897" ma:contentTypeVersion="8" ma:contentTypeDescription="Create a new document." ma:contentTypeScope="" ma:versionID="987d11c03d9b5ee6f48fafb5b1096ce3">
  <xsd:schema xmlns:xsd="http://www.w3.org/2001/XMLSchema" xmlns:xs="http://www.w3.org/2001/XMLSchema" xmlns:p="http://schemas.microsoft.com/office/2006/metadata/properties" xmlns:ns3="dc70a3f4-6e08-44db-bcbd-67d9fc0e8577" xmlns:ns4="22f10d74-c0f0-47e2-88a7-8dddb6db4f5a" targetNamespace="http://schemas.microsoft.com/office/2006/metadata/properties" ma:root="true" ma:fieldsID="8ef88071f48e5dca3886d55b68b5de30" ns3:_="" ns4:_="">
    <xsd:import namespace="dc70a3f4-6e08-44db-bcbd-67d9fc0e8577"/>
    <xsd:import namespace="22f10d74-c0f0-47e2-88a7-8dddb6db4f5a"/>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0a3f4-6e08-44db-bcbd-67d9fc0e85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f10d74-c0f0-47e2-88a7-8dddb6db4f5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48094-2271-4585-BA6E-C2E732FF4332}">
  <ds:schemaRefs>
    <ds:schemaRef ds:uri="dc70a3f4-6e08-44db-bcbd-67d9fc0e8577"/>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22f10d74-c0f0-47e2-88a7-8dddb6db4f5a"/>
    <ds:schemaRef ds:uri="http://www.w3.org/XML/1998/namespace"/>
  </ds:schemaRefs>
</ds:datastoreItem>
</file>

<file path=customXml/itemProps2.xml><?xml version="1.0" encoding="utf-8"?>
<ds:datastoreItem xmlns:ds="http://schemas.openxmlformats.org/officeDocument/2006/customXml" ds:itemID="{83E704D3-333C-472E-AE79-6FB7C467D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0a3f4-6e08-44db-bcbd-67d9fc0e8577"/>
    <ds:schemaRef ds:uri="22f10d74-c0f0-47e2-88a7-8dddb6db4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E348D1-1D9C-4690-8E7A-EA58B7301F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Структура_NMD</vt:lpstr>
      <vt:lpstr>NMD</vt:lpstr>
      <vt:lpstr>Кредити_са_фкс_ПО</vt:lpstr>
      <vt:lpstr>Орочени_депозити_ПР</vt:lpstr>
      <vt:lpstr>AO_пријевремена_отплата</vt:lpstr>
      <vt:lpstr>AO_ограничења</vt:lpstr>
      <vt:lpstr>J 02.00</vt:lpstr>
      <vt:lpstr>J 05.00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Vasilić</dc:creator>
  <cp:lastModifiedBy>Aleksandra Vasilić</cp:lastModifiedBy>
  <dcterms:created xsi:type="dcterms:W3CDTF">2024-01-24T09:25:30Z</dcterms:created>
  <dcterms:modified xsi:type="dcterms:W3CDTF">2025-03-24T07:42:55Z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0x0101003391DBB75643384E890D3F447B4AA897</vt:lpwstr>
  </property>
</Properties>
</file>