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gs-fs-01\IKT\WEB_ABRS\17 Za objavu\Radni\FinalPriprema\202503\"/>
    </mc:Choice>
  </mc:AlternateContent>
  <xr:revisionPtr revIDLastSave="0" documentId="13_ncr:1_{9FC30265-0B6E-4DDC-AC7F-29CF8263055D}" xr6:coauthVersionLast="47" xr6:coauthVersionMax="47" xr10:uidLastSave="{00000000-0000-0000-0000-000000000000}"/>
  <bookViews>
    <workbookView xWindow="-108" yWindow="-108" windowWidth="30936" windowHeight="16776" tabRatio="911" xr2:uid="{00000000-000D-0000-FFFF-FFFF00000000}"/>
  </bookViews>
  <sheets>
    <sheet name="Info" sheetId="179" r:id="rId1"/>
    <sheet name="Tabele" sheetId="1" r:id="rId2"/>
    <sheet name="Tab 0" sheetId="178" r:id="rId3"/>
    <sheet name="Tab 1" sheetId="5" r:id="rId4"/>
    <sheet name="Tab 2" sheetId="6" r:id="rId5"/>
    <sheet name="Tab 3" sheetId="259" r:id="rId6"/>
    <sheet name="Tab 4" sheetId="11" r:id="rId7"/>
    <sheet name="Tab 5" sheetId="12" r:id="rId8"/>
    <sheet name="Tab 6" sheetId="13" r:id="rId9"/>
    <sheet name="Tab 7" sheetId="14" r:id="rId10"/>
    <sheet name="Tab 8" sheetId="15" r:id="rId11"/>
    <sheet name="Tab 9" sheetId="17" r:id="rId12"/>
    <sheet name="Tab 10" sheetId="18" r:id="rId13"/>
    <sheet name="Tab 11" sheetId="19" r:id="rId14"/>
    <sheet name="Tab 12" sheetId="22" r:id="rId15"/>
    <sheet name="Tab 13" sheetId="24" r:id="rId16"/>
    <sheet name="Tab 14" sheetId="25" r:id="rId17"/>
    <sheet name="Tab 15" sheetId="26" r:id="rId18"/>
    <sheet name="Tab 16" sheetId="29" r:id="rId19"/>
    <sheet name="Tab 17" sheetId="118" r:id="rId20"/>
    <sheet name="Tab 18" sheetId="288" r:id="rId21"/>
    <sheet name="Tab 19" sheetId="35" r:id="rId22"/>
    <sheet name="Tab 20" sheetId="138" r:id="rId23"/>
    <sheet name="Tab 21" sheetId="139" r:id="rId24"/>
    <sheet name="Tab 22" sheetId="140" r:id="rId25"/>
    <sheet name="Tab 23" sheetId="43" r:id="rId26"/>
    <sheet name="Tab 24" sheetId="44" r:id="rId27"/>
    <sheet name="Tab 25" sheetId="45" r:id="rId28"/>
    <sheet name="Tab 26" sheetId="30" r:id="rId29"/>
    <sheet name="Tab 27" sheetId="31" r:id="rId30"/>
    <sheet name="Tab 28" sheetId="32" r:id="rId31"/>
    <sheet name="Tab 29" sheetId="33" r:id="rId32"/>
    <sheet name="Tab 30" sheetId="50" r:id="rId33"/>
    <sheet name="Tab 31" sheetId="291" r:id="rId34"/>
    <sheet name="Tab 32" sheetId="189" r:id="rId35"/>
    <sheet name="Tab 33" sheetId="185" r:id="rId36"/>
    <sheet name="Tab 34" sheetId="51" r:id="rId37"/>
    <sheet name="Pr 1" sheetId="55" r:id="rId38"/>
    <sheet name="Pr 2" sheetId="7" r:id="rId39"/>
    <sheet name="Pr 3" sheetId="134" r:id="rId40"/>
  </sheets>
  <definedNames>
    <definedName name="_ftn2" localSheetId="35">'Tab 33'!$A$11</definedName>
    <definedName name="_ftn3" localSheetId="35">'Tab 33'!$A$12</definedName>
    <definedName name="polja">#REF!</definedName>
    <definedName name="polja1">#REF!</definedName>
    <definedName name="_xlnm.Print_Area" localSheetId="37">'Pr 1'!$A$1:$J$13</definedName>
    <definedName name="_xlnm.Print_Area" localSheetId="38">'Pr 2'!$A$1:$H$48</definedName>
    <definedName name="_xlnm.Print_Area" localSheetId="39">'Pr 3'!$A$1:$K$31</definedName>
    <definedName name="_xlnm.Print_Area" localSheetId="2">'Tab 0'!$B$1:$F$12</definedName>
    <definedName name="_xlnm.Print_Area" localSheetId="3">'Tab 1'!$A$1:$I$6</definedName>
    <definedName name="_xlnm.Print_Area" localSheetId="12">'Tab 10'!$A$1:$H$26</definedName>
    <definedName name="_xlnm.Print_Area" localSheetId="13">'Tab 11'!$A$1:$H$14</definedName>
    <definedName name="_xlnm.Print_Area" localSheetId="14">'Tab 12'!$A$1:$J$14</definedName>
    <definedName name="_xlnm.Print_Area" localSheetId="15">'Tab 13'!$A$1:$N$20</definedName>
    <definedName name="_xlnm.Print_Area" localSheetId="16">'Tab 14'!$A$1:$N$16</definedName>
    <definedName name="_xlnm.Print_Area" localSheetId="17">'Tab 15'!$A$1:$N$15</definedName>
    <definedName name="_xlnm.Print_Area" localSheetId="18">'Tab 16'!$A$1:$G$10</definedName>
    <definedName name="_xlnm.Print_Area" localSheetId="19">'Tab 17'!$A$2:$F$10</definedName>
    <definedName name="_xlnm.Print_Area" localSheetId="20">'Tab 18'!$A$1:$F$23</definedName>
    <definedName name="_xlnm.Print_Area" localSheetId="21">'Tab 19'!$A$1:$F$18</definedName>
    <definedName name="_xlnm.Print_Area" localSheetId="4">'Tab 2'!$A$1:$D$6</definedName>
    <definedName name="_xlnm.Print_Area" localSheetId="22">'Tab 20'!$A$1:$J$22</definedName>
    <definedName name="_xlnm.Print_Area" localSheetId="23">'Tab 21'!$A$1:$J$19</definedName>
    <definedName name="_xlnm.Print_Area" localSheetId="24">'Tab 22'!$A$1:$J$18</definedName>
    <definedName name="_xlnm.Print_Area" localSheetId="25">'Tab 23'!$A$1:$I$21</definedName>
    <definedName name="_xlnm.Print_Area" localSheetId="26">'Tab 24'!$A$1:$I$10</definedName>
    <definedName name="_xlnm.Print_Area" localSheetId="27">'Tab 25'!$A$1:$I$13</definedName>
    <definedName name="_xlnm.Print_Area" localSheetId="28">'Tab 26'!$A$1:$F$26</definedName>
    <definedName name="_xlnm.Print_Area" localSheetId="29">'Tab 27'!$A$1:$E$8</definedName>
    <definedName name="_xlnm.Print_Area" localSheetId="30">'Tab 28'!$A$1:$F$13</definedName>
    <definedName name="_xlnm.Print_Area" localSheetId="31">'Tab 29'!$A$1:$E$14</definedName>
    <definedName name="_xlnm.Print_Area" localSheetId="5">'Tab 3'!$A$1:$H$27</definedName>
    <definedName name="_xlnm.Print_Area" localSheetId="32">'Tab 30'!$A$1:$G$6</definedName>
    <definedName name="_xlnm.Print_Area" localSheetId="33">'Tab 31'!$A$1:$G$6</definedName>
    <definedName name="_xlnm.Print_Area" localSheetId="34">'Tab 32'!$A$1:$I$16</definedName>
    <definedName name="_xlnm.Print_Area" localSheetId="35">'Tab 33'!$A$1:$D$9</definedName>
    <definedName name="_xlnm.Print_Area" localSheetId="36">'Tab 34'!$A$1:$I$9</definedName>
    <definedName name="_xlnm.Print_Area" localSheetId="6">'Tab 4'!$A$1:$H$14</definedName>
    <definedName name="_xlnm.Print_Area" localSheetId="7">'Tab 5'!$A$1:$H$8</definedName>
    <definedName name="_xlnm.Print_Area" localSheetId="8">'Tab 6'!$A$1:$H$13</definedName>
    <definedName name="_xlnm.Print_Area" localSheetId="9">'Tab 7'!$A$1:$E$12</definedName>
    <definedName name="_xlnm.Print_Area" localSheetId="10">'Tab 8'!$A$1:$N$20</definedName>
    <definedName name="_xlnm.Print_Area" localSheetId="11">'Tab 9'!$A$1:$H$15</definedName>
    <definedName name="_xlnm.Print_Area" localSheetId="1">Tabele!$A$1:$B$39</definedName>
  </definedNames>
  <calcPr calcId="191029"/>
  <customWorkbookViews>
    <customWorkbookView name="Olivera Talijan - Personal View" guid="{5507C501-9942-4310-9E0E-987180BD1180}" mergeInterval="0" personalView="1" maximized="1" windowWidth="1916" windowHeight="834" tabRatio="911" activeSheetId="1"/>
    <customWorkbookView name="ABRS - Personal View" guid="{54A0E5BB-5A66-4415-88CA-030F3BDE4337}" mergeInterval="0" personalView="1" maximized="1" xWindow="1" yWindow="1" windowWidth="1465" windowHeight="582" tabRatio="934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50" l="1"/>
  <c r="B6" i="50"/>
  <c r="D6" i="50"/>
  <c r="E6" i="50"/>
  <c r="F6" i="50"/>
  <c r="G6" i="50"/>
  <c r="H3" i="7" l="1"/>
  <c r="F3" i="288"/>
  <c r="C5" i="33"/>
  <c r="F3" i="32"/>
  <c r="N3" i="45"/>
  <c r="H4" i="18"/>
  <c r="H4" i="13"/>
  <c r="C4" i="185"/>
  <c r="I4" i="189"/>
  <c r="H4" i="189"/>
  <c r="E4" i="33" l="1"/>
  <c r="E4" i="31"/>
  <c r="D9" i="30"/>
  <c r="E9" i="30"/>
  <c r="C9" i="30"/>
  <c r="F3" i="30"/>
  <c r="N8" i="45"/>
  <c r="N9" i="45"/>
  <c r="N10" i="45"/>
  <c r="N11" i="45"/>
  <c r="N12" i="45"/>
  <c r="N7" i="45"/>
  <c r="F5" i="118" l="1"/>
  <c r="N4" i="26" l="1"/>
  <c r="N4" i="25"/>
  <c r="N4" i="24"/>
  <c r="H4" i="19"/>
  <c r="E4" i="14"/>
  <c r="N4" i="15"/>
  <c r="E5" i="14"/>
  <c r="H4" i="12"/>
  <c r="H4" i="11"/>
  <c r="H4" i="259"/>
  <c r="H4" i="17"/>
  <c r="C67" i="30" l="1"/>
  <c r="E66" i="30"/>
  <c r="D66" i="30"/>
  <c r="F66" i="30" s="1"/>
  <c r="C66" i="30"/>
  <c r="C17" i="30"/>
  <c r="C49" i="30"/>
  <c r="C50" i="30"/>
  <c r="C51" i="30"/>
  <c r="C52" i="30"/>
  <c r="C53" i="30"/>
  <c r="C54" i="30"/>
  <c r="C55" i="30"/>
  <c r="C13" i="30" l="1"/>
  <c r="C26" i="30"/>
  <c r="C25" i="30"/>
  <c r="C24" i="30"/>
  <c r="C22" i="30"/>
  <c r="D24" i="30"/>
  <c r="E24" i="30"/>
  <c r="C23" i="30"/>
  <c r="F24" i="30" l="1"/>
  <c r="C11" i="30"/>
  <c r="G6" i="291" l="1"/>
  <c r="F6" i="291"/>
  <c r="E6" i="291"/>
  <c r="D6" i="291"/>
  <c r="C6" i="291"/>
  <c r="B6" i="291"/>
  <c r="D13" i="288" l="1"/>
  <c r="D8" i="288"/>
  <c r="E6" i="288" s="1"/>
  <c r="B8" i="288"/>
  <c r="C6" i="288" s="1"/>
  <c r="F21" i="288"/>
  <c r="F20" i="288"/>
  <c r="F18" i="288"/>
  <c r="F17" i="288"/>
  <c r="F16" i="288"/>
  <c r="F15" i="288"/>
  <c r="F12" i="288"/>
  <c r="F11" i="288"/>
  <c r="F10" i="288"/>
  <c r="F7" i="288"/>
  <c r="F6" i="288"/>
  <c r="F19" i="288"/>
  <c r="B13" i="288"/>
  <c r="C11" i="288" s="1"/>
  <c r="C7" i="288" l="1"/>
  <c r="C8" i="288" s="1"/>
  <c r="F8" i="288"/>
  <c r="F13" i="288"/>
  <c r="C12" i="288"/>
  <c r="B14" i="288"/>
  <c r="E10" i="288"/>
  <c r="D14" i="288"/>
  <c r="E11" i="288"/>
  <c r="C10" i="288"/>
  <c r="E12" i="288"/>
  <c r="E7" i="288"/>
  <c r="E8" i="288" s="1"/>
  <c r="F14" i="288" l="1"/>
  <c r="C13" i="288"/>
  <c r="E13" i="288"/>
  <c r="E26" i="30" l="1"/>
  <c r="E25" i="30"/>
  <c r="F11" i="178" l="1"/>
  <c r="E11" i="178"/>
  <c r="D11" i="178"/>
  <c r="C11" i="178"/>
  <c r="F7" i="178"/>
  <c r="E7" i="178"/>
  <c r="D7" i="178"/>
  <c r="C7" i="178"/>
  <c r="F6" i="17" l="1"/>
  <c r="D6" i="17"/>
  <c r="H14" i="17" l="1"/>
  <c r="H13" i="17"/>
  <c r="H23" i="259"/>
  <c r="H22" i="259"/>
  <c r="E17" i="30" l="1"/>
  <c r="D17" i="30"/>
  <c r="F17" i="30" s="1"/>
  <c r="C19" i="30"/>
  <c r="D26" i="30"/>
  <c r="D25" i="30"/>
  <c r="E19" i="30"/>
  <c r="D19" i="30"/>
  <c r="D16" i="30"/>
  <c r="F19" i="30" l="1"/>
  <c r="F26" i="30"/>
  <c r="F25" i="30"/>
  <c r="F16" i="30"/>
  <c r="F15" i="17"/>
  <c r="C7" i="30" l="1"/>
  <c r="F9" i="30"/>
  <c r="E6" i="30"/>
  <c r="E7" i="30"/>
  <c r="E10" i="30"/>
  <c r="E11" i="30"/>
  <c r="E12" i="30"/>
  <c r="E13" i="30"/>
  <c r="E14" i="30"/>
  <c r="E16" i="30"/>
  <c r="E20" i="30"/>
  <c r="E22" i="30"/>
  <c r="E23" i="30"/>
  <c r="E5" i="30"/>
  <c r="D6" i="30"/>
  <c r="D7" i="30"/>
  <c r="D10" i="30"/>
  <c r="D11" i="30"/>
  <c r="D12" i="30"/>
  <c r="D13" i="30"/>
  <c r="D14" i="30"/>
  <c r="D20" i="30"/>
  <c r="D22" i="30"/>
  <c r="D23" i="30"/>
  <c r="D5" i="30"/>
  <c r="C5" i="30"/>
  <c r="D49" i="30"/>
  <c r="C10" i="30"/>
  <c r="C12" i="30"/>
  <c r="C14" i="30"/>
  <c r="C16" i="30"/>
  <c r="C20" i="30"/>
  <c r="C6" i="30"/>
  <c r="C56" i="30"/>
  <c r="F6" i="118"/>
  <c r="F11" i="30" l="1"/>
  <c r="F23" i="30"/>
  <c r="F14" i="30"/>
  <c r="F13" i="30"/>
  <c r="F7" i="30"/>
  <c r="F5" i="30"/>
  <c r="F10" i="30"/>
  <c r="F22" i="30"/>
  <c r="F12" i="30"/>
  <c r="F6" i="30"/>
  <c r="F20" i="30"/>
  <c r="C21" i="30"/>
  <c r="D8" i="30"/>
  <c r="C8" i="30"/>
  <c r="D21" i="30"/>
  <c r="F21" i="30" s="1"/>
  <c r="E8" i="30"/>
  <c r="E21" i="30"/>
  <c r="E10" i="118"/>
  <c r="C10" i="118"/>
  <c r="F8" i="30" l="1"/>
  <c r="D15" i="30"/>
  <c r="E15" i="30"/>
  <c r="C15" i="30"/>
  <c r="C18" i="30" s="1"/>
  <c r="D10" i="118"/>
  <c r="F7" i="118"/>
  <c r="F8" i="118"/>
  <c r="F9" i="118"/>
  <c r="F15" i="30" l="1"/>
  <c r="D18" i="30"/>
  <c r="E18" i="30"/>
  <c r="F10" i="118"/>
  <c r="H6" i="7"/>
  <c r="H14" i="7"/>
  <c r="H15" i="7"/>
  <c r="H16" i="7"/>
  <c r="H17" i="7"/>
  <c r="H18" i="7"/>
  <c r="H19" i="7"/>
  <c r="H20" i="7"/>
  <c r="H23" i="7"/>
  <c r="H24" i="7"/>
  <c r="H25" i="7"/>
  <c r="H26" i="7"/>
  <c r="H27" i="7"/>
  <c r="H28" i="7"/>
  <c r="H29" i="7"/>
  <c r="H31" i="7"/>
  <c r="H32" i="7"/>
  <c r="H33" i="7"/>
  <c r="H34" i="7"/>
  <c r="H36" i="7"/>
  <c r="H37" i="7"/>
  <c r="H38" i="7"/>
  <c r="H39" i="7"/>
  <c r="H42" i="7"/>
  <c r="H43" i="7"/>
  <c r="H44" i="7"/>
  <c r="H45" i="7"/>
  <c r="H46" i="7"/>
  <c r="H47" i="7"/>
  <c r="H48" i="7"/>
  <c r="H7" i="7"/>
  <c r="H8" i="7"/>
  <c r="H9" i="7"/>
  <c r="H10" i="7"/>
  <c r="H11" i="7"/>
  <c r="H12" i="7"/>
  <c r="D40" i="7"/>
  <c r="D35" i="7"/>
  <c r="H35" i="7" s="1"/>
  <c r="D30" i="7"/>
  <c r="E27" i="7" s="1"/>
  <c r="D21" i="7"/>
  <c r="E20" i="7" s="1"/>
  <c r="D13" i="7"/>
  <c r="E12" i="7" s="1"/>
  <c r="F40" i="7"/>
  <c r="B40" i="7"/>
  <c r="F35" i="7"/>
  <c r="B35" i="7"/>
  <c r="F30" i="7"/>
  <c r="G28" i="7" s="1"/>
  <c r="B30" i="7"/>
  <c r="C26" i="7" s="1"/>
  <c r="F21" i="7"/>
  <c r="G19" i="7" s="1"/>
  <c r="B21" i="7"/>
  <c r="C18" i="7" s="1"/>
  <c r="F13" i="7"/>
  <c r="G11" i="7" s="1"/>
  <c r="B13" i="7"/>
  <c r="C12" i="7" s="1"/>
  <c r="E6" i="7" l="1"/>
  <c r="C25" i="7"/>
  <c r="C11" i="7"/>
  <c r="F18" i="30"/>
  <c r="C9" i="7"/>
  <c r="E28" i="7"/>
  <c r="C10" i="7"/>
  <c r="C7" i="7"/>
  <c r="E29" i="7"/>
  <c r="C17" i="7"/>
  <c r="C29" i="7"/>
  <c r="C28" i="7"/>
  <c r="C6" i="7"/>
  <c r="C27" i="7"/>
  <c r="C16" i="7"/>
  <c r="G8" i="7"/>
  <c r="G25" i="7"/>
  <c r="C8" i="7"/>
  <c r="C24" i="7"/>
  <c r="G12" i="7"/>
  <c r="G29" i="7"/>
  <c r="E15" i="7"/>
  <c r="C15" i="7"/>
  <c r="E16" i="7"/>
  <c r="G16" i="7"/>
  <c r="C20" i="7"/>
  <c r="H30" i="7"/>
  <c r="C19" i="7"/>
  <c r="C21" i="7" s="1"/>
  <c r="G20" i="7"/>
  <c r="G6" i="7"/>
  <c r="G7" i="7"/>
  <c r="G15" i="7"/>
  <c r="G24" i="7"/>
  <c r="G9" i="7"/>
  <c r="G17" i="7"/>
  <c r="G26" i="7"/>
  <c r="G10" i="7"/>
  <c r="G18" i="7"/>
  <c r="G27" i="7"/>
  <c r="E7" i="7"/>
  <c r="E17" i="7"/>
  <c r="E8" i="7"/>
  <c r="E18" i="7"/>
  <c r="E9" i="7"/>
  <c r="E19" i="7"/>
  <c r="E24" i="7"/>
  <c r="E10" i="7"/>
  <c r="E25" i="7"/>
  <c r="E11" i="7"/>
  <c r="E26" i="7"/>
  <c r="D22" i="7"/>
  <c r="D41" i="7"/>
  <c r="H40" i="7"/>
  <c r="H21" i="7"/>
  <c r="H13" i="7"/>
  <c r="B22" i="7"/>
  <c r="B41" i="7"/>
  <c r="F41" i="7"/>
  <c r="F22" i="7"/>
  <c r="H41" i="7" l="1"/>
  <c r="H22" i="7"/>
  <c r="C30" i="7"/>
  <c r="C13" i="7"/>
  <c r="E21" i="7"/>
  <c r="E13" i="7"/>
  <c r="G21" i="7"/>
  <c r="G30" i="7"/>
  <c r="E30" i="7"/>
  <c r="G13" i="7"/>
  <c r="F14" i="259"/>
  <c r="B14" i="259"/>
  <c r="D14" i="259"/>
  <c r="F26" i="259" l="1"/>
  <c r="G19" i="259" s="1"/>
  <c r="F13" i="259"/>
  <c r="G12" i="259" s="1"/>
  <c r="D26" i="259"/>
  <c r="E20" i="259" s="1"/>
  <c r="D13" i="259"/>
  <c r="E10" i="259" s="1"/>
  <c r="B26" i="259"/>
  <c r="C20" i="259" s="1"/>
  <c r="B13" i="259"/>
  <c r="C12" i="259" s="1"/>
  <c r="H25" i="259"/>
  <c r="H21" i="259"/>
  <c r="H20" i="259"/>
  <c r="H19" i="259"/>
  <c r="H16" i="259"/>
  <c r="H15" i="259"/>
  <c r="H14" i="259"/>
  <c r="H12" i="259"/>
  <c r="H11" i="259"/>
  <c r="H10" i="259"/>
  <c r="H9" i="259"/>
  <c r="H8" i="259"/>
  <c r="H7" i="259"/>
  <c r="H26" i="259" l="1"/>
  <c r="E19" i="259"/>
  <c r="H13" i="259"/>
  <c r="E9" i="259"/>
  <c r="G23" i="259"/>
  <c r="C7" i="259"/>
  <c r="E8" i="259"/>
  <c r="C9" i="259"/>
  <c r="E11" i="259"/>
  <c r="C25" i="259"/>
  <c r="G10" i="259"/>
  <c r="B17" i="259"/>
  <c r="C11" i="259"/>
  <c r="E7" i="259"/>
  <c r="E12" i="259"/>
  <c r="E21" i="259"/>
  <c r="E22" i="259"/>
  <c r="G7" i="259"/>
  <c r="C22" i="259"/>
  <c r="C21" i="259"/>
  <c r="C10" i="259"/>
  <c r="C19" i="259"/>
  <c r="G21" i="259"/>
  <c r="G22" i="259"/>
  <c r="C8" i="259"/>
  <c r="C23" i="259"/>
  <c r="G8" i="259"/>
  <c r="G20" i="259"/>
  <c r="G9" i="259"/>
  <c r="F17" i="259"/>
  <c r="G25" i="259"/>
  <c r="G11" i="259"/>
  <c r="E23" i="259"/>
  <c r="D17" i="259"/>
  <c r="E25" i="259"/>
  <c r="G26" i="259" l="1"/>
  <c r="G13" i="259"/>
  <c r="H17" i="259"/>
  <c r="C13" i="259"/>
  <c r="E26" i="259"/>
  <c r="C26" i="259"/>
  <c r="E13" i="259"/>
  <c r="F26" i="18" l="1"/>
  <c r="D26" i="18"/>
  <c r="B26" i="18"/>
  <c r="F25" i="18"/>
  <c r="D25" i="18"/>
  <c r="B25" i="18"/>
  <c r="H23" i="18"/>
  <c r="H22" i="18"/>
  <c r="F21" i="18"/>
  <c r="D21" i="18"/>
  <c r="H21" i="18" s="1"/>
  <c r="B21" i="18"/>
  <c r="H20" i="18"/>
  <c r="H19" i="18"/>
  <c r="F18" i="18"/>
  <c r="D18" i="18"/>
  <c r="H18" i="18" s="1"/>
  <c r="B18" i="18"/>
  <c r="H17" i="18"/>
  <c r="H16" i="18"/>
  <c r="F15" i="18"/>
  <c r="D15" i="18"/>
  <c r="B15" i="18"/>
  <c r="H14" i="18"/>
  <c r="H13" i="18"/>
  <c r="F12" i="18"/>
  <c r="D12" i="18"/>
  <c r="B12" i="18"/>
  <c r="H11" i="18"/>
  <c r="H10" i="18"/>
  <c r="F9" i="18"/>
  <c r="D9" i="18"/>
  <c r="B9" i="18"/>
  <c r="H8" i="18"/>
  <c r="H7" i="18"/>
  <c r="F6" i="18"/>
  <c r="D6" i="18"/>
  <c r="B6" i="18"/>
  <c r="H12" i="18" l="1"/>
  <c r="H9" i="18"/>
  <c r="H25" i="18"/>
  <c r="F24" i="18"/>
  <c r="H26" i="18"/>
  <c r="B24" i="18"/>
  <c r="C16" i="18" s="1"/>
  <c r="H6" i="18"/>
  <c r="H15" i="18"/>
  <c r="D24" i="18"/>
  <c r="E6" i="18" l="1"/>
  <c r="G11" i="18"/>
  <c r="G20" i="18"/>
  <c r="G16" i="18"/>
  <c r="G12" i="18"/>
  <c r="G7" i="18"/>
  <c r="G17" i="18"/>
  <c r="G23" i="18"/>
  <c r="G19" i="18"/>
  <c r="G15" i="18"/>
  <c r="G10" i="18"/>
  <c r="G6" i="18"/>
  <c r="G21" i="18"/>
  <c r="G26" i="18"/>
  <c r="G22" i="18"/>
  <c r="G18" i="18"/>
  <c r="G14" i="18"/>
  <c r="G9" i="18"/>
  <c r="G25" i="18"/>
  <c r="G13" i="18"/>
  <c r="G8" i="18"/>
  <c r="E20" i="18"/>
  <c r="E16" i="18"/>
  <c r="E12" i="18"/>
  <c r="E7" i="18"/>
  <c r="E25" i="18"/>
  <c r="E9" i="18"/>
  <c r="E8" i="18"/>
  <c r="E23" i="18"/>
  <c r="E19" i="18"/>
  <c r="E15" i="18"/>
  <c r="E11" i="18"/>
  <c r="E21" i="18"/>
  <c r="E26" i="18"/>
  <c r="E22" i="18"/>
  <c r="E18" i="18"/>
  <c r="E14" i="18"/>
  <c r="E10" i="18"/>
  <c r="E17" i="18"/>
  <c r="E13" i="18"/>
  <c r="H24" i="18"/>
  <c r="C26" i="18"/>
  <c r="C21" i="18"/>
  <c r="C17" i="18"/>
  <c r="C13" i="18"/>
  <c r="C10" i="18"/>
  <c r="C23" i="18"/>
  <c r="C8" i="18"/>
  <c r="C11" i="18"/>
  <c r="C25" i="18"/>
  <c r="C20" i="18"/>
  <c r="C12" i="18"/>
  <c r="C7" i="18"/>
  <c r="C19" i="18"/>
  <c r="C15" i="18"/>
  <c r="C9" i="18"/>
  <c r="C22" i="18"/>
  <c r="C18" i="18"/>
  <c r="C14" i="18"/>
  <c r="C6" i="18"/>
  <c r="B6" i="17"/>
  <c r="D15" i="17"/>
  <c r="H15" i="17" l="1"/>
  <c r="G24" i="18"/>
  <c r="B15" i="17"/>
  <c r="C12" i="17"/>
  <c r="E24" i="18"/>
  <c r="C24" i="18"/>
  <c r="H6" i="17"/>
  <c r="H12" i="17"/>
  <c r="H11" i="17"/>
  <c r="H10" i="17"/>
  <c r="H9" i="17"/>
  <c r="H8" i="17"/>
  <c r="H7" i="17"/>
  <c r="E7" i="17" l="1"/>
  <c r="E8" i="17"/>
  <c r="E9" i="17"/>
  <c r="E10" i="17"/>
  <c r="E11" i="17"/>
  <c r="G7" i="17"/>
  <c r="G8" i="17"/>
  <c r="G9" i="17"/>
  <c r="G10" i="17"/>
  <c r="G11" i="17"/>
  <c r="E12" i="17"/>
  <c r="G12" i="17"/>
  <c r="C7" i="17"/>
  <c r="C8" i="17"/>
  <c r="C9" i="17"/>
  <c r="C10" i="17"/>
  <c r="C11" i="17"/>
  <c r="C6" i="17" l="1"/>
  <c r="G6" i="17"/>
  <c r="E6" i="17"/>
  <c r="B6" i="13" l="1"/>
  <c r="B10" i="13"/>
  <c r="B13" i="13" l="1"/>
  <c r="E45" i="30"/>
  <c r="D45" i="30"/>
  <c r="C45" i="30"/>
  <c r="E46" i="30"/>
  <c r="E47" i="30"/>
  <c r="E48" i="30"/>
  <c r="E49" i="30"/>
  <c r="F49" i="30" s="1"/>
  <c r="E50" i="30"/>
  <c r="E51" i="30"/>
  <c r="E52" i="30"/>
  <c r="E53" i="30"/>
  <c r="E54" i="30"/>
  <c r="E55" i="30"/>
  <c r="E56" i="30"/>
  <c r="E57" i="30"/>
  <c r="E58" i="30"/>
  <c r="E59" i="30"/>
  <c r="E60" i="30"/>
  <c r="E61" i="30"/>
  <c r="E62" i="30"/>
  <c r="E63" i="30"/>
  <c r="E64" i="30"/>
  <c r="E65" i="30"/>
  <c r="E67" i="30"/>
  <c r="E68" i="30"/>
  <c r="E69" i="30"/>
  <c r="D47" i="30"/>
  <c r="D48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7" i="30"/>
  <c r="D68" i="30"/>
  <c r="D69" i="30"/>
  <c r="D46" i="30"/>
  <c r="C47" i="30"/>
  <c r="C48" i="30"/>
  <c r="C57" i="30"/>
  <c r="C58" i="30"/>
  <c r="C59" i="30"/>
  <c r="C60" i="30"/>
  <c r="C61" i="30"/>
  <c r="C62" i="30"/>
  <c r="C63" i="30"/>
  <c r="C64" i="30"/>
  <c r="C65" i="30"/>
  <c r="C68" i="30"/>
  <c r="C69" i="30"/>
  <c r="C46" i="30"/>
  <c r="F63" i="30" l="1"/>
  <c r="F15" i="35" l="1"/>
  <c r="F14" i="35"/>
  <c r="E15" i="35"/>
  <c r="E14" i="35"/>
  <c r="D15" i="35"/>
  <c r="D14" i="35"/>
  <c r="C15" i="35"/>
  <c r="C14" i="35"/>
  <c r="B15" i="35"/>
  <c r="B14" i="35"/>
  <c r="F8" i="35"/>
  <c r="F7" i="35"/>
  <c r="E8" i="35"/>
  <c r="E7" i="35"/>
  <c r="D8" i="35"/>
  <c r="D7" i="35"/>
  <c r="C8" i="35"/>
  <c r="C7" i="35"/>
  <c r="B8" i="35"/>
  <c r="B7" i="35"/>
  <c r="I8" i="189" l="1"/>
  <c r="I7" i="189"/>
  <c r="I6" i="189"/>
  <c r="I9" i="189"/>
  <c r="I10" i="189"/>
  <c r="I11" i="189"/>
  <c r="I13" i="189"/>
  <c r="I14" i="189"/>
  <c r="H7" i="189"/>
  <c r="H8" i="189"/>
  <c r="H9" i="189"/>
  <c r="H10" i="189"/>
  <c r="H11" i="189"/>
  <c r="H13" i="189"/>
  <c r="H14" i="189"/>
  <c r="H6" i="189"/>
  <c r="B12" i="189"/>
  <c r="G18" i="140"/>
  <c r="G17" i="140"/>
  <c r="G15" i="140"/>
  <c r="G14" i="140"/>
  <c r="G12" i="140"/>
  <c r="G11" i="140"/>
  <c r="D18" i="140"/>
  <c r="D17" i="140"/>
  <c r="D15" i="140"/>
  <c r="D14" i="140"/>
  <c r="D12" i="140"/>
  <c r="D11" i="140"/>
  <c r="J18" i="139"/>
  <c r="J17" i="139"/>
  <c r="J16" i="139"/>
  <c r="J14" i="139"/>
  <c r="J13" i="139"/>
  <c r="J12" i="139"/>
  <c r="G18" i="139"/>
  <c r="G17" i="139"/>
  <c r="G16" i="139"/>
  <c r="G14" i="139"/>
  <c r="G13" i="139"/>
  <c r="G12" i="139"/>
  <c r="D18" i="139"/>
  <c r="D17" i="139"/>
  <c r="D16" i="139"/>
  <c r="D14" i="139"/>
  <c r="D13" i="139"/>
  <c r="D12" i="139"/>
  <c r="J21" i="138"/>
  <c r="J20" i="138"/>
  <c r="J19" i="138"/>
  <c r="J18" i="138"/>
  <c r="G21" i="138"/>
  <c r="G20" i="138"/>
  <c r="G19" i="138"/>
  <c r="G18" i="138"/>
  <c r="D19" i="138"/>
  <c r="D20" i="138"/>
  <c r="D21" i="138"/>
  <c r="D18" i="138"/>
  <c r="D16" i="138"/>
  <c r="J16" i="138"/>
  <c r="G16" i="138"/>
  <c r="J13" i="138"/>
  <c r="J12" i="138"/>
  <c r="J11" i="138"/>
  <c r="J10" i="138"/>
  <c r="G11" i="138"/>
  <c r="G12" i="138"/>
  <c r="G13" i="138"/>
  <c r="G10" i="138"/>
  <c r="D13" i="138"/>
  <c r="D11" i="138"/>
  <c r="D12" i="138"/>
  <c r="D10" i="138"/>
  <c r="J19" i="24"/>
  <c r="H19" i="24"/>
  <c r="D19" i="24"/>
  <c r="B19" i="24"/>
  <c r="L18" i="24"/>
  <c r="F18" i="24"/>
  <c r="L17" i="24"/>
  <c r="F17" i="24"/>
  <c r="L16" i="24"/>
  <c r="F16" i="24"/>
  <c r="N16" i="24" s="1"/>
  <c r="L15" i="24"/>
  <c r="F15" i="24"/>
  <c r="L14" i="24"/>
  <c r="F14" i="24"/>
  <c r="J12" i="24"/>
  <c r="H12" i="24"/>
  <c r="D12" i="24"/>
  <c r="B12" i="24"/>
  <c r="L11" i="24"/>
  <c r="F11" i="24"/>
  <c r="L10" i="24"/>
  <c r="F10" i="24"/>
  <c r="N10" i="24" s="1"/>
  <c r="L9" i="24"/>
  <c r="F9" i="24"/>
  <c r="L8" i="24"/>
  <c r="F8" i="24"/>
  <c r="L7" i="24"/>
  <c r="F7" i="24"/>
  <c r="N13" i="15"/>
  <c r="F7" i="15"/>
  <c r="N18" i="24" l="1"/>
  <c r="N9" i="24"/>
  <c r="N8" i="24"/>
  <c r="N17" i="24"/>
  <c r="N15" i="24"/>
  <c r="N11" i="24"/>
  <c r="N7" i="24"/>
  <c r="J20" i="24"/>
  <c r="K10" i="24" s="1"/>
  <c r="H20" i="24"/>
  <c r="I7" i="24" s="1"/>
  <c r="F19" i="24"/>
  <c r="L12" i="24"/>
  <c r="L19" i="24"/>
  <c r="D20" i="24"/>
  <c r="E16" i="24" s="1"/>
  <c r="B20" i="24"/>
  <c r="C17" i="24" s="1"/>
  <c r="F12" i="24"/>
  <c r="N12" i="24" s="1"/>
  <c r="N14" i="24"/>
  <c r="D6" i="6"/>
  <c r="D5" i="6"/>
  <c r="D4" i="6"/>
  <c r="H5" i="140"/>
  <c r="N19" i="24" l="1"/>
  <c r="E10" i="24"/>
  <c r="K7" i="24"/>
  <c r="K11" i="24"/>
  <c r="K14" i="24"/>
  <c r="K8" i="24"/>
  <c r="K15" i="24"/>
  <c r="K18" i="24"/>
  <c r="K16" i="24"/>
  <c r="K9" i="24"/>
  <c r="K17" i="24"/>
  <c r="E7" i="24"/>
  <c r="I16" i="24"/>
  <c r="C15" i="24"/>
  <c r="I8" i="24"/>
  <c r="C14" i="24"/>
  <c r="I11" i="24"/>
  <c r="E11" i="24"/>
  <c r="E14" i="24"/>
  <c r="E17" i="24"/>
  <c r="E15" i="24"/>
  <c r="E8" i="24"/>
  <c r="E18" i="24"/>
  <c r="E9" i="24"/>
  <c r="L20" i="24"/>
  <c r="I9" i="24"/>
  <c r="I10" i="24"/>
  <c r="I15" i="24"/>
  <c r="C18" i="24"/>
  <c r="I14" i="24"/>
  <c r="I17" i="24"/>
  <c r="C16" i="24"/>
  <c r="I18" i="24"/>
  <c r="C10" i="24"/>
  <c r="C8" i="24"/>
  <c r="C11" i="24"/>
  <c r="C9" i="24"/>
  <c r="C7" i="24"/>
  <c r="F20" i="24"/>
  <c r="K12" i="24" l="1"/>
  <c r="K19" i="24"/>
  <c r="M17" i="24"/>
  <c r="M9" i="24"/>
  <c r="M14" i="24"/>
  <c r="M18" i="24"/>
  <c r="M16" i="24"/>
  <c r="M11" i="24"/>
  <c r="M10" i="24"/>
  <c r="M15" i="24"/>
  <c r="M8" i="24"/>
  <c r="M7" i="24"/>
  <c r="I12" i="24"/>
  <c r="C19" i="24"/>
  <c r="E19" i="24"/>
  <c r="E12" i="24"/>
  <c r="I19" i="24"/>
  <c r="C12" i="24"/>
  <c r="G16" i="24"/>
  <c r="G8" i="24"/>
  <c r="G18" i="24"/>
  <c r="G14" i="24"/>
  <c r="G10" i="24"/>
  <c r="G17" i="24"/>
  <c r="G15" i="24"/>
  <c r="G11" i="24"/>
  <c r="G7" i="24"/>
  <c r="N20" i="24"/>
  <c r="G9" i="24"/>
  <c r="K20" i="24"/>
  <c r="I20" i="24" l="1"/>
  <c r="M19" i="24"/>
  <c r="C20" i="24"/>
  <c r="E20" i="24"/>
  <c r="M12" i="24"/>
  <c r="G19" i="24"/>
  <c r="G12" i="24"/>
  <c r="M20" i="24" l="1"/>
  <c r="G20" i="24"/>
  <c r="C3" i="185" l="1"/>
  <c r="D3" i="185"/>
  <c r="B3" i="185"/>
  <c r="F15" i="189" l="1"/>
  <c r="D15" i="189"/>
  <c r="B15" i="189"/>
  <c r="F12" i="189"/>
  <c r="D12" i="189"/>
  <c r="I12" i="189" l="1"/>
  <c r="H12" i="189"/>
  <c r="I15" i="189"/>
  <c r="H15" i="189"/>
  <c r="F16" i="189"/>
  <c r="B16" i="189"/>
  <c r="D16" i="189"/>
  <c r="E15" i="189" s="1"/>
  <c r="E12" i="189" l="1"/>
  <c r="E16" i="189" s="1"/>
  <c r="G14" i="189"/>
  <c r="G10" i="189"/>
  <c r="G6" i="189"/>
  <c r="G8" i="189"/>
  <c r="G9" i="189"/>
  <c r="I16" i="189"/>
  <c r="G11" i="189"/>
  <c r="G7" i="189"/>
  <c r="G13" i="189"/>
  <c r="E11" i="189"/>
  <c r="E7" i="189"/>
  <c r="E13" i="189"/>
  <c r="E9" i="189"/>
  <c r="E14" i="189"/>
  <c r="E10" i="189"/>
  <c r="E6" i="189"/>
  <c r="E8" i="189"/>
  <c r="H16" i="189"/>
  <c r="G15" i="189"/>
  <c r="G12" i="189"/>
  <c r="C13" i="189"/>
  <c r="C10" i="189"/>
  <c r="C14" i="189"/>
  <c r="C9" i="189"/>
  <c r="C8" i="189"/>
  <c r="C12" i="189"/>
  <c r="C11" i="189"/>
  <c r="C7" i="189"/>
  <c r="C15" i="189"/>
  <c r="C6" i="189"/>
  <c r="G16" i="189" l="1"/>
  <c r="C16" i="189"/>
  <c r="D8" i="185" l="1"/>
  <c r="C8" i="185"/>
  <c r="B8" i="185"/>
  <c r="D7" i="185"/>
  <c r="C7" i="185"/>
  <c r="B7" i="185"/>
  <c r="D6" i="185"/>
  <c r="C6" i="185"/>
  <c r="B6" i="185"/>
  <c r="D5" i="185"/>
  <c r="C5" i="185"/>
  <c r="B5" i="185"/>
  <c r="D4" i="185"/>
  <c r="B4" i="185"/>
  <c r="B14" i="11" l="1"/>
  <c r="F52" i="30" l="1"/>
  <c r="F51" i="30"/>
  <c r="F48" i="30"/>
  <c r="K28" i="134" l="1"/>
  <c r="K30" i="134"/>
  <c r="K29" i="134"/>
  <c r="K26" i="134"/>
  <c r="K25" i="134"/>
  <c r="K24" i="134"/>
  <c r="K23" i="134"/>
  <c r="K22" i="134"/>
  <c r="K21" i="134"/>
  <c r="K20" i="134"/>
  <c r="K19" i="134"/>
  <c r="K18" i="134"/>
  <c r="K17" i="134"/>
  <c r="K16" i="134"/>
  <c r="K15" i="134"/>
  <c r="K14" i="134"/>
  <c r="K13" i="134"/>
  <c r="K12" i="134"/>
  <c r="K11" i="134"/>
  <c r="K10" i="134"/>
  <c r="K9" i="134"/>
  <c r="K8" i="134"/>
  <c r="K7" i="134"/>
  <c r="K6" i="134"/>
  <c r="I30" i="134" l="1"/>
  <c r="I29" i="134"/>
  <c r="I28" i="134"/>
  <c r="H27" i="134"/>
  <c r="I18" i="140" s="1"/>
  <c r="G27" i="134"/>
  <c r="I15" i="140" s="1"/>
  <c r="F27" i="134"/>
  <c r="I12" i="140" s="1"/>
  <c r="E30" i="134"/>
  <c r="E29" i="134"/>
  <c r="J29" i="134" s="1"/>
  <c r="E28" i="134"/>
  <c r="C27" i="134"/>
  <c r="H15" i="140" s="1"/>
  <c r="D27" i="134"/>
  <c r="B27" i="134"/>
  <c r="H12" i="140" s="1"/>
  <c r="I26" i="134"/>
  <c r="I25" i="134"/>
  <c r="I24" i="134"/>
  <c r="I23" i="134"/>
  <c r="I22" i="134"/>
  <c r="I21" i="134"/>
  <c r="I20" i="134"/>
  <c r="I19" i="134"/>
  <c r="I18" i="134"/>
  <c r="I17" i="134"/>
  <c r="I16" i="134"/>
  <c r="I15" i="134"/>
  <c r="I14" i="134"/>
  <c r="I13" i="134"/>
  <c r="I12" i="134"/>
  <c r="I11" i="134"/>
  <c r="I10" i="134"/>
  <c r="I9" i="134"/>
  <c r="I8" i="134"/>
  <c r="I7" i="134"/>
  <c r="I6" i="134"/>
  <c r="H5" i="134"/>
  <c r="I17" i="140" s="1"/>
  <c r="G5" i="134"/>
  <c r="I14" i="140" s="1"/>
  <c r="F5" i="134"/>
  <c r="I11" i="140" s="1"/>
  <c r="C5" i="134"/>
  <c r="H14" i="140" s="1"/>
  <c r="D5" i="134"/>
  <c r="B5" i="134"/>
  <c r="H11" i="140" s="1"/>
  <c r="E26" i="134"/>
  <c r="J26" i="134" s="1"/>
  <c r="E25" i="134"/>
  <c r="J25" i="134" s="1"/>
  <c r="E24" i="134"/>
  <c r="J24" i="134" s="1"/>
  <c r="E23" i="134"/>
  <c r="J23" i="134" s="1"/>
  <c r="E22" i="134"/>
  <c r="J22" i="134" s="1"/>
  <c r="E21" i="134"/>
  <c r="J21" i="134" s="1"/>
  <c r="E20" i="134"/>
  <c r="J20" i="134" s="1"/>
  <c r="E19" i="134"/>
  <c r="J19" i="134" s="1"/>
  <c r="E18" i="134"/>
  <c r="J18" i="134" s="1"/>
  <c r="E17" i="134"/>
  <c r="J17" i="134" s="1"/>
  <c r="E16" i="134"/>
  <c r="J16" i="134" s="1"/>
  <c r="E15" i="134"/>
  <c r="J15" i="134" s="1"/>
  <c r="E14" i="134"/>
  <c r="J14" i="134" s="1"/>
  <c r="E13" i="134"/>
  <c r="J13" i="134" s="1"/>
  <c r="E12" i="134"/>
  <c r="J12" i="134" s="1"/>
  <c r="E11" i="134"/>
  <c r="J11" i="134" s="1"/>
  <c r="E10" i="134"/>
  <c r="J10" i="134" s="1"/>
  <c r="E9" i="134"/>
  <c r="J9" i="134" s="1"/>
  <c r="E8" i="134"/>
  <c r="J8" i="134" s="1"/>
  <c r="E7" i="134"/>
  <c r="J7" i="134" s="1"/>
  <c r="E6" i="134"/>
  <c r="J6" i="134" s="1"/>
  <c r="J30" i="134" l="1"/>
  <c r="J28" i="134"/>
  <c r="J14" i="140"/>
  <c r="J11" i="140"/>
  <c r="J12" i="140"/>
  <c r="J15" i="140"/>
  <c r="K5" i="134"/>
  <c r="H17" i="140"/>
  <c r="K27" i="134"/>
  <c r="H18" i="140"/>
  <c r="H31" i="134"/>
  <c r="F31" i="134"/>
  <c r="B31" i="134"/>
  <c r="G31" i="134"/>
  <c r="E27" i="134"/>
  <c r="J27" i="134" s="1"/>
  <c r="I27" i="134"/>
  <c r="I5" i="134"/>
  <c r="D31" i="134"/>
  <c r="C31" i="134"/>
  <c r="E5" i="134"/>
  <c r="J5" i="134" s="1"/>
  <c r="K31" i="134" l="1"/>
  <c r="J18" i="140"/>
  <c r="J17" i="140"/>
  <c r="I31" i="134"/>
  <c r="E31" i="134"/>
  <c r="J31" i="134" l="1"/>
  <c r="H16" i="140" l="1"/>
  <c r="C13" i="140"/>
  <c r="I10" i="140"/>
  <c r="I15" i="139"/>
  <c r="H15" i="139"/>
  <c r="F15" i="139"/>
  <c r="E15" i="139"/>
  <c r="C15" i="139"/>
  <c r="B15" i="139"/>
  <c r="I11" i="139"/>
  <c r="H11" i="139"/>
  <c r="F11" i="139"/>
  <c r="E11" i="139"/>
  <c r="C11" i="139"/>
  <c r="B11" i="139"/>
  <c r="I10" i="139"/>
  <c r="H10" i="139"/>
  <c r="F10" i="139"/>
  <c r="E10" i="139"/>
  <c r="C10" i="139"/>
  <c r="B10" i="139"/>
  <c r="I9" i="139"/>
  <c r="H9" i="139"/>
  <c r="F9" i="139"/>
  <c r="E9" i="139"/>
  <c r="C9" i="139"/>
  <c r="B9" i="139"/>
  <c r="I8" i="139"/>
  <c r="H8" i="139"/>
  <c r="F8" i="139"/>
  <c r="E8" i="139"/>
  <c r="C8" i="139"/>
  <c r="B8" i="139"/>
  <c r="I17" i="138"/>
  <c r="H17" i="138"/>
  <c r="F17" i="138"/>
  <c r="E17" i="138"/>
  <c r="C17" i="138"/>
  <c r="B17" i="138"/>
  <c r="I9" i="138"/>
  <c r="H9" i="138"/>
  <c r="F9" i="138"/>
  <c r="E9" i="138"/>
  <c r="E8" i="138" s="1"/>
  <c r="C9" i="138"/>
  <c r="B9" i="138"/>
  <c r="B8" i="138" s="1"/>
  <c r="I8" i="138"/>
  <c r="F8" i="138"/>
  <c r="C8" i="138"/>
  <c r="H8" i="138" l="1"/>
  <c r="J8" i="138" s="1"/>
  <c r="G8" i="138"/>
  <c r="D8" i="138"/>
  <c r="J9" i="138"/>
  <c r="J8" i="139"/>
  <c r="D10" i="139"/>
  <c r="D15" i="139"/>
  <c r="D9" i="138"/>
  <c r="D8" i="139"/>
  <c r="G9" i="139"/>
  <c r="G11" i="139"/>
  <c r="G9" i="138"/>
  <c r="D17" i="138"/>
  <c r="J17" i="138"/>
  <c r="G8" i="139"/>
  <c r="D9" i="139"/>
  <c r="J9" i="139"/>
  <c r="G10" i="139"/>
  <c r="D11" i="139"/>
  <c r="J11" i="139"/>
  <c r="G15" i="139"/>
  <c r="G17" i="138"/>
  <c r="J10" i="139"/>
  <c r="J15" i="139"/>
  <c r="E7" i="139"/>
  <c r="H7" i="138"/>
  <c r="I7" i="138"/>
  <c r="C7" i="139"/>
  <c r="F7" i="138"/>
  <c r="F7" i="139"/>
  <c r="C7" i="138"/>
  <c r="I7" i="139"/>
  <c r="B7" i="139"/>
  <c r="C8" i="140"/>
  <c r="E13" i="140"/>
  <c r="H13" i="140"/>
  <c r="F16" i="140"/>
  <c r="E7" i="138"/>
  <c r="B7" i="138"/>
  <c r="F9" i="140"/>
  <c r="E8" i="140"/>
  <c r="B9" i="140"/>
  <c r="I16" i="140"/>
  <c r="B10" i="140"/>
  <c r="H9" i="140"/>
  <c r="F13" i="140"/>
  <c r="F8" i="140"/>
  <c r="B16" i="140"/>
  <c r="E10" i="140"/>
  <c r="H10" i="140"/>
  <c r="B8" i="140"/>
  <c r="I9" i="140"/>
  <c r="F10" i="140"/>
  <c r="B13" i="140"/>
  <c r="D13" i="140" s="1"/>
  <c r="I13" i="140"/>
  <c r="E9" i="140"/>
  <c r="C16" i="140"/>
  <c r="E16" i="140"/>
  <c r="C9" i="140"/>
  <c r="I8" i="140"/>
  <c r="C10" i="140"/>
  <c r="H8" i="140"/>
  <c r="H7" i="139"/>
  <c r="G10" i="140" l="1"/>
  <c r="D9" i="140"/>
  <c r="G7" i="139"/>
  <c r="D10" i="140"/>
  <c r="D16" i="140"/>
  <c r="G16" i="140"/>
  <c r="D7" i="139"/>
  <c r="G8" i="140"/>
  <c r="J7" i="139"/>
  <c r="G13" i="140"/>
  <c r="D8" i="140"/>
  <c r="G7" i="138"/>
  <c r="G9" i="140"/>
  <c r="D7" i="138"/>
  <c r="J7" i="138"/>
  <c r="J16" i="140"/>
  <c r="J10" i="140"/>
  <c r="J13" i="140"/>
  <c r="J8" i="140"/>
  <c r="J9" i="140"/>
  <c r="H7" i="140"/>
  <c r="I7" i="140"/>
  <c r="E7" i="140"/>
  <c r="F7" i="140"/>
  <c r="B7" i="140"/>
  <c r="C7" i="140"/>
  <c r="G7" i="140" l="1"/>
  <c r="D7" i="140"/>
  <c r="J7" i="140"/>
  <c r="F13" i="26" l="1"/>
  <c r="F7" i="26"/>
  <c r="B5" i="31" l="1"/>
  <c r="F64" i="30"/>
  <c r="F69" i="30"/>
  <c r="F68" i="30"/>
  <c r="F67" i="30"/>
  <c r="F65" i="30"/>
  <c r="F62" i="30"/>
  <c r="F61" i="30"/>
  <c r="F60" i="30"/>
  <c r="F59" i="30"/>
  <c r="F58" i="30"/>
  <c r="F57" i="30"/>
  <c r="F56" i="30"/>
  <c r="F55" i="30"/>
  <c r="F54" i="30"/>
  <c r="F53" i="30"/>
  <c r="F50" i="30"/>
  <c r="C4" i="32" l="1"/>
  <c r="F47" i="30"/>
  <c r="C9" i="32" l="1"/>
  <c r="C7" i="32"/>
  <c r="C12" i="32"/>
  <c r="C13" i="32"/>
  <c r="C10" i="32"/>
  <c r="C6" i="32"/>
  <c r="F46" i="30"/>
  <c r="B9" i="51" l="1"/>
  <c r="I8" i="51"/>
  <c r="H8" i="51"/>
  <c r="I7" i="51"/>
  <c r="H7" i="51"/>
  <c r="I6" i="51"/>
  <c r="H6" i="51"/>
  <c r="G9" i="51"/>
  <c r="F9" i="51"/>
  <c r="H9" i="51" l="1"/>
  <c r="I9" i="51"/>
  <c r="B14" i="19"/>
  <c r="E10" i="14" l="1"/>
  <c r="E8" i="14"/>
  <c r="E7" i="14"/>
  <c r="J10" i="25"/>
  <c r="H10" i="25"/>
  <c r="D10" i="25"/>
  <c r="B10" i="25"/>
  <c r="B19" i="15"/>
  <c r="J12" i="15"/>
  <c r="H12" i="15"/>
  <c r="D12" i="15"/>
  <c r="B12" i="15"/>
  <c r="B20" i="15" l="1"/>
  <c r="E9" i="51"/>
  <c r="D9" i="51"/>
  <c r="C9" i="51"/>
  <c r="C18" i="15" l="1"/>
  <c r="C9" i="15"/>
  <c r="C7" i="15"/>
  <c r="C16" i="15"/>
  <c r="C11" i="15"/>
  <c r="C14" i="15"/>
  <c r="C15" i="15"/>
  <c r="C10" i="15"/>
  <c r="C17" i="15"/>
  <c r="C8" i="15"/>
  <c r="H6" i="11"/>
  <c r="F13" i="55" l="1"/>
  <c r="F13" i="35" l="1"/>
  <c r="D13" i="35"/>
  <c r="D16" i="35" s="1"/>
  <c r="E13" i="35"/>
  <c r="E16" i="35" s="1"/>
  <c r="C13" i="35"/>
  <c r="C16" i="35" s="1"/>
  <c r="B13" i="35"/>
  <c r="B16" i="35" s="1"/>
  <c r="F16" i="35" l="1"/>
  <c r="J15" i="25"/>
  <c r="H12" i="13" l="1"/>
  <c r="H11" i="13"/>
  <c r="H9" i="13"/>
  <c r="H8" i="13"/>
  <c r="H7" i="13"/>
  <c r="H7" i="12"/>
  <c r="H6" i="12"/>
  <c r="F14" i="11" l="1"/>
  <c r="D14" i="11"/>
  <c r="I13" i="55" l="1"/>
  <c r="H13" i="55"/>
  <c r="G13" i="55"/>
  <c r="J13" i="55"/>
  <c r="D5" i="33" l="1"/>
  <c r="B5" i="33"/>
  <c r="E13" i="33"/>
  <c r="E11" i="33"/>
  <c r="E10" i="33"/>
  <c r="E9" i="33"/>
  <c r="E8" i="33"/>
  <c r="E7" i="33"/>
  <c r="E6" i="33"/>
  <c r="D15" i="26"/>
  <c r="B15" i="26"/>
  <c r="H15" i="25"/>
  <c r="D15" i="25"/>
  <c r="B15" i="25"/>
  <c r="H12" i="19"/>
  <c r="H11" i="19"/>
  <c r="H9" i="19"/>
  <c r="H8" i="19"/>
  <c r="H7" i="19"/>
  <c r="F14" i="19"/>
  <c r="D14" i="19"/>
  <c r="D19" i="15"/>
  <c r="F10" i="13"/>
  <c r="F6" i="13"/>
  <c r="D10" i="13"/>
  <c r="D6" i="13"/>
  <c r="D14" i="33" l="1"/>
  <c r="E13" i="26"/>
  <c r="E9" i="26"/>
  <c r="E7" i="26"/>
  <c r="E11" i="26"/>
  <c r="E14" i="26"/>
  <c r="E10" i="26"/>
  <c r="E8" i="26"/>
  <c r="E12" i="26"/>
  <c r="C8" i="26"/>
  <c r="C12" i="26"/>
  <c r="C14" i="26"/>
  <c r="C10" i="26"/>
  <c r="C13" i="26"/>
  <c r="C9" i="26"/>
  <c r="C11" i="26"/>
  <c r="C7" i="26"/>
  <c r="H10" i="13"/>
  <c r="H6" i="13"/>
  <c r="B14" i="33"/>
  <c r="F13" i="13"/>
  <c r="D20" i="15"/>
  <c r="H14" i="19"/>
  <c r="D13" i="13"/>
  <c r="E5" i="33"/>
  <c r="F11" i="32"/>
  <c r="F8" i="32"/>
  <c r="F5" i="32"/>
  <c r="E8" i="31"/>
  <c r="E7" i="31"/>
  <c r="E6" i="31"/>
  <c r="D5" i="31"/>
  <c r="E8" i="29"/>
  <c r="D8" i="29"/>
  <c r="C8" i="29"/>
  <c r="C10" i="29" s="1"/>
  <c r="F9" i="29"/>
  <c r="F7" i="29"/>
  <c r="F6" i="29"/>
  <c r="G9" i="29"/>
  <c r="G7" i="29"/>
  <c r="G6" i="29"/>
  <c r="B8" i="29"/>
  <c r="B10" i="29" s="1"/>
  <c r="J15" i="26"/>
  <c r="H15" i="26"/>
  <c r="L14" i="26"/>
  <c r="F14" i="26"/>
  <c r="L13" i="26"/>
  <c r="L12" i="26"/>
  <c r="F12" i="26"/>
  <c r="L11" i="26"/>
  <c r="F11" i="26"/>
  <c r="L10" i="26"/>
  <c r="F10" i="26"/>
  <c r="L9" i="26"/>
  <c r="F9" i="26"/>
  <c r="L8" i="26"/>
  <c r="F8" i="26"/>
  <c r="L7" i="26"/>
  <c r="J19" i="15"/>
  <c r="H19" i="15"/>
  <c r="H20" i="15" s="1"/>
  <c r="L18" i="15"/>
  <c r="F18" i="15"/>
  <c r="L17" i="15"/>
  <c r="F17" i="15"/>
  <c r="L16" i="15"/>
  <c r="F16" i="15"/>
  <c r="L15" i="15"/>
  <c r="F15" i="15"/>
  <c r="L14" i="15"/>
  <c r="F14" i="15"/>
  <c r="L11" i="15"/>
  <c r="F11" i="15"/>
  <c r="L10" i="15"/>
  <c r="F10" i="15"/>
  <c r="L9" i="15"/>
  <c r="F9" i="15"/>
  <c r="L8" i="15"/>
  <c r="F8" i="15"/>
  <c r="L7" i="15"/>
  <c r="L14" i="25"/>
  <c r="F14" i="25"/>
  <c r="L13" i="25"/>
  <c r="F13" i="25"/>
  <c r="L12" i="25"/>
  <c r="F12" i="25"/>
  <c r="D16" i="25"/>
  <c r="B16" i="25"/>
  <c r="L9" i="25"/>
  <c r="F9" i="25"/>
  <c r="L8" i="25"/>
  <c r="F8" i="25"/>
  <c r="L7" i="25"/>
  <c r="F7" i="25"/>
  <c r="N14" i="25" l="1"/>
  <c r="N13" i="25"/>
  <c r="N12" i="25"/>
  <c r="N9" i="25"/>
  <c r="N8" i="25"/>
  <c r="N7" i="25"/>
  <c r="N7" i="15"/>
  <c r="H13" i="13"/>
  <c r="E10" i="29"/>
  <c r="D10" i="29"/>
  <c r="N9" i="15"/>
  <c r="N17" i="15"/>
  <c r="I14" i="26"/>
  <c r="I10" i="26"/>
  <c r="I8" i="26"/>
  <c r="I12" i="26"/>
  <c r="I7" i="26"/>
  <c r="I13" i="26"/>
  <c r="I11" i="26"/>
  <c r="I9" i="26"/>
  <c r="K13" i="26"/>
  <c r="K9" i="26"/>
  <c r="K7" i="26"/>
  <c r="K11" i="26"/>
  <c r="K14" i="26"/>
  <c r="K10" i="26"/>
  <c r="K8" i="26"/>
  <c r="K12" i="26"/>
  <c r="I17" i="15"/>
  <c r="I10" i="15"/>
  <c r="I15" i="15"/>
  <c r="I7" i="15"/>
  <c r="I8" i="15"/>
  <c r="I14" i="15"/>
  <c r="I18" i="15"/>
  <c r="I11" i="15"/>
  <c r="I16" i="15"/>
  <c r="I9" i="15"/>
  <c r="E18" i="15"/>
  <c r="E14" i="15"/>
  <c r="E9" i="15"/>
  <c r="E16" i="15"/>
  <c r="E11" i="15"/>
  <c r="E17" i="15"/>
  <c r="E10" i="15"/>
  <c r="E8" i="15"/>
  <c r="E15" i="15"/>
  <c r="E7" i="15"/>
  <c r="C13" i="25"/>
  <c r="C9" i="25"/>
  <c r="C12" i="25"/>
  <c r="C8" i="25"/>
  <c r="C14" i="25"/>
  <c r="C7" i="25"/>
  <c r="E9" i="25"/>
  <c r="E13" i="25"/>
  <c r="E7" i="25"/>
  <c r="E14" i="25"/>
  <c r="E8" i="25"/>
  <c r="E12" i="25"/>
  <c r="N8" i="15"/>
  <c r="N10" i="15"/>
  <c r="N14" i="15"/>
  <c r="N16" i="15"/>
  <c r="N18" i="15"/>
  <c r="N11" i="15"/>
  <c r="N15" i="15"/>
  <c r="N8" i="26"/>
  <c r="E4" i="32"/>
  <c r="F12" i="15"/>
  <c r="L10" i="25"/>
  <c r="L12" i="15"/>
  <c r="F10" i="25"/>
  <c r="N10" i="26"/>
  <c r="N12" i="26"/>
  <c r="N14" i="26"/>
  <c r="J20" i="15"/>
  <c r="E12" i="33"/>
  <c r="C14" i="33"/>
  <c r="L19" i="15"/>
  <c r="G8" i="29"/>
  <c r="F8" i="29"/>
  <c r="N9" i="26"/>
  <c r="N11" i="26"/>
  <c r="N13" i="26"/>
  <c r="L15" i="26"/>
  <c r="F15" i="26"/>
  <c r="N7" i="26"/>
  <c r="F19" i="15"/>
  <c r="J16" i="25"/>
  <c r="H16" i="25"/>
  <c r="L15" i="25"/>
  <c r="F15" i="25"/>
  <c r="J13" i="22"/>
  <c r="J12" i="22"/>
  <c r="J11" i="22"/>
  <c r="J10" i="22"/>
  <c r="J9" i="22"/>
  <c r="J8" i="22"/>
  <c r="J7" i="22"/>
  <c r="J6" i="22"/>
  <c r="I14" i="22"/>
  <c r="H14" i="22"/>
  <c r="F14" i="22"/>
  <c r="E14" i="22"/>
  <c r="G13" i="22"/>
  <c r="G12" i="22"/>
  <c r="G11" i="22"/>
  <c r="G10" i="22"/>
  <c r="G9" i="22"/>
  <c r="G8" i="22"/>
  <c r="G7" i="22"/>
  <c r="G6" i="22"/>
  <c r="D13" i="22"/>
  <c r="D12" i="22"/>
  <c r="D11" i="22"/>
  <c r="D10" i="22"/>
  <c r="D9" i="22"/>
  <c r="D8" i="22"/>
  <c r="D7" i="22"/>
  <c r="D6" i="22"/>
  <c r="C14" i="22"/>
  <c r="B14" i="22"/>
  <c r="H14" i="11"/>
  <c r="H13" i="11"/>
  <c r="H12" i="11"/>
  <c r="H11" i="11"/>
  <c r="H10" i="11"/>
  <c r="H9" i="11"/>
  <c r="H8" i="11"/>
  <c r="H7" i="11"/>
  <c r="H13" i="19"/>
  <c r="H10" i="19"/>
  <c r="H6" i="19"/>
  <c r="G12" i="19"/>
  <c r="E13" i="19"/>
  <c r="D6" i="14"/>
  <c r="C6" i="14"/>
  <c r="C9" i="14" s="1"/>
  <c r="B6" i="14"/>
  <c r="B9" i="14" s="1"/>
  <c r="F10" i="29" l="1"/>
  <c r="N15" i="25"/>
  <c r="N10" i="25"/>
  <c r="N19" i="15"/>
  <c r="N12" i="15"/>
  <c r="D9" i="14"/>
  <c r="E14" i="33"/>
  <c r="K16" i="15"/>
  <c r="K8" i="15"/>
  <c r="K18" i="15"/>
  <c r="K14" i="15"/>
  <c r="K10" i="15"/>
  <c r="K15" i="15"/>
  <c r="K7" i="15"/>
  <c r="K9" i="15"/>
  <c r="K11" i="15"/>
  <c r="K17" i="15"/>
  <c r="I12" i="25"/>
  <c r="I14" i="25"/>
  <c r="I8" i="25"/>
  <c r="I13" i="25"/>
  <c r="I7" i="25"/>
  <c r="I9" i="25"/>
  <c r="G10" i="26"/>
  <c r="G14" i="26"/>
  <c r="G8" i="26"/>
  <c r="G12" i="26"/>
  <c r="G9" i="26"/>
  <c r="G11" i="26"/>
  <c r="G13" i="26"/>
  <c r="G7" i="26"/>
  <c r="K13" i="25"/>
  <c r="K7" i="25"/>
  <c r="K9" i="25"/>
  <c r="K14" i="25"/>
  <c r="K8" i="25"/>
  <c r="K12" i="25"/>
  <c r="M12" i="26"/>
  <c r="M8" i="26"/>
  <c r="M14" i="26"/>
  <c r="M10" i="26"/>
  <c r="M13" i="26"/>
  <c r="M9" i="26"/>
  <c r="M7" i="26"/>
  <c r="M11" i="26"/>
  <c r="L20" i="15"/>
  <c r="D11" i="14"/>
  <c r="I12" i="15"/>
  <c r="E6" i="32"/>
  <c r="E7" i="32"/>
  <c r="O7" i="32" s="1"/>
  <c r="E12" i="32"/>
  <c r="E10" i="32"/>
  <c r="O10" i="32" s="1"/>
  <c r="E13" i="32"/>
  <c r="O13" i="32" s="1"/>
  <c r="E9" i="32"/>
  <c r="C12" i="15"/>
  <c r="C11" i="14"/>
  <c r="C12" i="14" s="1"/>
  <c r="E6" i="14"/>
  <c r="E12" i="15"/>
  <c r="E19" i="15"/>
  <c r="C11" i="19"/>
  <c r="C6" i="19"/>
  <c r="C10" i="19"/>
  <c r="C19" i="15"/>
  <c r="I19" i="15"/>
  <c r="G14" i="22"/>
  <c r="D14" i="22"/>
  <c r="J14" i="22"/>
  <c r="G10" i="29"/>
  <c r="C15" i="26"/>
  <c r="I15" i="26"/>
  <c r="E15" i="26"/>
  <c r="N15" i="26"/>
  <c r="K15" i="26"/>
  <c r="F20" i="15"/>
  <c r="L16" i="25"/>
  <c r="F16" i="25"/>
  <c r="G10" i="19"/>
  <c r="G6" i="19"/>
  <c r="G13" i="19"/>
  <c r="G9" i="19"/>
  <c r="G7" i="19"/>
  <c r="G11" i="19"/>
  <c r="C9" i="19"/>
  <c r="C13" i="19"/>
  <c r="C8" i="19"/>
  <c r="C12" i="19"/>
  <c r="C7" i="19"/>
  <c r="G8" i="19"/>
  <c r="E6" i="19"/>
  <c r="E7" i="19"/>
  <c r="E8" i="19"/>
  <c r="E9" i="19"/>
  <c r="E10" i="19"/>
  <c r="E11" i="19"/>
  <c r="E12" i="19"/>
  <c r="B11" i="14"/>
  <c r="B12" i="14" s="1"/>
  <c r="E11" i="13"/>
  <c r="E9" i="13"/>
  <c r="E12" i="13"/>
  <c r="E7" i="13"/>
  <c r="F8" i="12"/>
  <c r="D8" i="12"/>
  <c r="B8" i="12"/>
  <c r="E9" i="14" l="1"/>
  <c r="D12" i="14"/>
  <c r="M14" i="25"/>
  <c r="M8" i="25"/>
  <c r="M12" i="25"/>
  <c r="M9" i="25"/>
  <c r="M13" i="25"/>
  <c r="M7" i="25"/>
  <c r="G18" i="15"/>
  <c r="G8" i="15"/>
  <c r="G7" i="15"/>
  <c r="N20" i="15"/>
  <c r="G16" i="15"/>
  <c r="G10" i="15"/>
  <c r="G15" i="15"/>
  <c r="G9" i="15"/>
  <c r="G17" i="15"/>
  <c r="G11" i="15"/>
  <c r="G14" i="15"/>
  <c r="N16" i="25"/>
  <c r="G13" i="25"/>
  <c r="G8" i="25"/>
  <c r="G7" i="25"/>
  <c r="G14" i="25"/>
  <c r="G12" i="25"/>
  <c r="G9" i="25"/>
  <c r="M15" i="15"/>
  <c r="M14" i="15"/>
  <c r="M9" i="15"/>
  <c r="M17" i="15"/>
  <c r="M7" i="15"/>
  <c r="M11" i="15"/>
  <c r="M18" i="15"/>
  <c r="M8" i="15"/>
  <c r="M16" i="15"/>
  <c r="M10" i="15"/>
  <c r="C20" i="15"/>
  <c r="I15" i="25"/>
  <c r="E20" i="15"/>
  <c r="E11" i="14"/>
  <c r="E10" i="25"/>
  <c r="K12" i="15"/>
  <c r="I10" i="25"/>
  <c r="C10" i="25"/>
  <c r="C7" i="12"/>
  <c r="C6" i="12"/>
  <c r="K10" i="25"/>
  <c r="I20" i="15"/>
  <c r="E14" i="19"/>
  <c r="C14" i="19"/>
  <c r="K19" i="15"/>
  <c r="E6" i="12"/>
  <c r="E7" i="12"/>
  <c r="G6" i="12"/>
  <c r="G7" i="12"/>
  <c r="M15" i="26"/>
  <c r="G15" i="26"/>
  <c r="K15" i="25"/>
  <c r="C15" i="25"/>
  <c r="E15" i="25"/>
  <c r="G14" i="19"/>
  <c r="E8" i="13"/>
  <c r="E6" i="13" s="1"/>
  <c r="G12" i="13"/>
  <c r="G7" i="13"/>
  <c r="G9" i="13"/>
  <c r="G11" i="13"/>
  <c r="G8" i="13"/>
  <c r="C7" i="13"/>
  <c r="C8" i="13"/>
  <c r="C12" i="13"/>
  <c r="C11" i="13"/>
  <c r="C9" i="13"/>
  <c r="E10" i="13"/>
  <c r="H8" i="12"/>
  <c r="E12" i="14" l="1"/>
  <c r="G10" i="25"/>
  <c r="G15" i="25"/>
  <c r="G16" i="25" s="1"/>
  <c r="M12" i="15"/>
  <c r="M19" i="15"/>
  <c r="G12" i="15"/>
  <c r="G19" i="15"/>
  <c r="M10" i="25"/>
  <c r="K20" i="15"/>
  <c r="G6" i="13"/>
  <c r="C8" i="12"/>
  <c r="I16" i="25"/>
  <c r="C16" i="25"/>
  <c r="K16" i="25"/>
  <c r="E16" i="25"/>
  <c r="M15" i="25"/>
  <c r="E13" i="13"/>
  <c r="C10" i="13"/>
  <c r="C6" i="13"/>
  <c r="G10" i="13"/>
  <c r="E8" i="12"/>
  <c r="G8" i="12"/>
  <c r="M20" i="15" l="1"/>
  <c r="G20" i="15"/>
  <c r="C13" i="13"/>
  <c r="G13" i="13"/>
  <c r="M16" i="25"/>
  <c r="G13" i="11"/>
  <c r="E12" i="11"/>
  <c r="C12" i="11"/>
  <c r="G12" i="11"/>
  <c r="G10" i="11" l="1"/>
  <c r="G8" i="11"/>
  <c r="C13" i="11"/>
  <c r="G6" i="11"/>
  <c r="E13" i="11"/>
  <c r="G7" i="11"/>
  <c r="G9" i="11"/>
  <c r="G11" i="11"/>
  <c r="C6" i="11"/>
  <c r="C10" i="11"/>
  <c r="C11" i="11"/>
  <c r="C9" i="11"/>
  <c r="C7" i="11"/>
  <c r="C8" i="11"/>
  <c r="E6" i="11"/>
  <c r="E7" i="11"/>
  <c r="E8" i="11"/>
  <c r="E9" i="11"/>
  <c r="E10" i="11"/>
  <c r="E11" i="11"/>
  <c r="C14" i="11" l="1"/>
  <c r="G14" i="11"/>
  <c r="E14" i="11"/>
  <c r="C5" i="31" l="1"/>
  <c r="D4" i="32" l="1"/>
  <c r="D9" i="32" s="1"/>
  <c r="E5" i="31"/>
  <c r="F9" i="32" l="1"/>
  <c r="D7" i="32"/>
  <c r="D6" i="32"/>
  <c r="D13" i="32"/>
  <c r="D12" i="32"/>
  <c r="D10" i="32"/>
  <c r="F4" i="32"/>
  <c r="F12" i="32" l="1"/>
  <c r="F10" i="32"/>
  <c r="F13" i="32"/>
  <c r="F6" i="32"/>
  <c r="F7" i="32"/>
</calcChain>
</file>

<file path=xl/sharedStrings.xml><?xml version="1.0" encoding="utf-8"?>
<sst xmlns="http://schemas.openxmlformats.org/spreadsheetml/2006/main" count="1242" uniqueCount="647">
  <si>
    <t>Датум</t>
  </si>
  <si>
    <t>Број запослених</t>
  </si>
  <si>
    <t>Износ</t>
  </si>
  <si>
    <t>%</t>
  </si>
  <si>
    <t>1.</t>
  </si>
  <si>
    <t>Структура капитала</t>
  </si>
  <si>
    <t>Број банакa</t>
  </si>
  <si>
    <t>Већински домаћи капитал</t>
  </si>
  <si>
    <t xml:space="preserve">Већински страни капитал </t>
  </si>
  <si>
    <t>Индекс</t>
  </si>
  <si>
    <t>ОПИС</t>
  </si>
  <si>
    <t>(у 000 КМ)</t>
  </si>
  <si>
    <t>4. Кредити (бруто)</t>
  </si>
  <si>
    <t>Банкомати</t>
  </si>
  <si>
    <t>Инд.</t>
  </si>
  <si>
    <t xml:space="preserve"> Депозити у КМ</t>
  </si>
  <si>
    <t>Укупно</t>
  </si>
  <si>
    <t>1. Краткорочни депозити</t>
  </si>
  <si>
    <t>2. Дугорочни депозити</t>
  </si>
  <si>
    <t>KM</t>
  </si>
  <si>
    <t>Готов новац</t>
  </si>
  <si>
    <t>Рачун резерви код ЦБ БиХ</t>
  </si>
  <si>
    <t>Рачуни депозита код депоз. инст. у БиХ</t>
  </si>
  <si>
    <t>Рачуни депозита код депоз. инст. у иностр.</t>
  </si>
  <si>
    <t>Новчана средства у процесу наплате</t>
  </si>
  <si>
    <t>Неисплаћени дугови</t>
  </si>
  <si>
    <t>Доспјела потраживања</t>
  </si>
  <si>
    <t>Дугор. кредити 
&gt;1 год.</t>
  </si>
  <si>
    <t>1. Краткорочни кредити</t>
  </si>
  <si>
    <t>2. Дугорочни кредити</t>
  </si>
  <si>
    <t>УКУПНО</t>
  </si>
  <si>
    <t>Период</t>
  </si>
  <si>
    <t>РEГУЛATOРНИ KAПИTAЛ</t>
  </si>
  <si>
    <t>1.1.</t>
  </si>
  <si>
    <t>OСНOВНИ KAПИTAЛ</t>
  </si>
  <si>
    <t>1.1.1.1.</t>
  </si>
  <si>
    <t>1.1.1.2.</t>
  </si>
  <si>
    <t>Емисиона премија на акције</t>
  </si>
  <si>
    <t>1.1.1.3.</t>
  </si>
  <si>
    <t>Задржана добит протеклих година</t>
  </si>
  <si>
    <t>1.1.1.4.</t>
  </si>
  <si>
    <t xml:space="preserve">Призната добит или губитак </t>
  </si>
  <si>
    <t>1.1.1.5.</t>
  </si>
  <si>
    <t>Остали укупни резултат</t>
  </si>
  <si>
    <t>1.1.1.6.</t>
  </si>
  <si>
    <t>Остале резерве</t>
  </si>
  <si>
    <t>1.1.1.7.</t>
  </si>
  <si>
    <t>1.1.1.8.</t>
  </si>
  <si>
    <t>1.1.1.9.</t>
  </si>
  <si>
    <t>(–) Одбици од ставки додатног основног капитала који премашују  додатни основни капитал</t>
  </si>
  <si>
    <t>1.1.2.1.</t>
  </si>
  <si>
    <t>1.1.2.2.</t>
  </si>
  <si>
    <t>(–) Одбици од ставки допунског капитала који премашују допунски капитал</t>
  </si>
  <si>
    <t>1.1.2.3.</t>
  </si>
  <si>
    <t>Одбитак од ставки додатног основног капитала који премашује додатни основни капитал (одбија се од редовног основног капитала)</t>
  </si>
  <si>
    <t>1.2.</t>
  </si>
  <si>
    <t>1.2.1.</t>
  </si>
  <si>
    <t>1.2.2.</t>
  </si>
  <si>
    <t>Опште исправке вриједности за кредитни ризик у складу са стандардизованим приступом</t>
  </si>
  <si>
    <t>1.2.3.</t>
  </si>
  <si>
    <t>Одбитак од ставки допунског капитала који премашује допунски капитал (одбијен у додатном основном капиталу)</t>
  </si>
  <si>
    <t>1.2.4.</t>
  </si>
  <si>
    <t>Елементи или одбици од допунског капитала – остало (недостајући износ регулаторних резерви)</t>
  </si>
  <si>
    <t>РEДOВНИ OСНOВНИ KAПИTAЛ (CET 1)</t>
  </si>
  <si>
    <t>(–) Остала нематеријална имовина</t>
  </si>
  <si>
    <t>ДОДАТНИ ОСНОВНИ КАПИТАЛ (AT 1)</t>
  </si>
  <si>
    <t>ДОПУНСКИ КАПИТАЛ (Т2)</t>
  </si>
  <si>
    <t>1.1.1.</t>
  </si>
  <si>
    <t>1.1.2.</t>
  </si>
  <si>
    <t>Укупан износ изложености ризику</t>
  </si>
  <si>
    <t>Регулаторни капитал</t>
  </si>
  <si>
    <t>Вишак (+) / мањак (–) регулаторног капитала</t>
  </si>
  <si>
    <t>Основни капитал</t>
  </si>
  <si>
    <t>Вишак (+) / мањак (–) основног капитала</t>
  </si>
  <si>
    <t>Редовни основни капитал</t>
  </si>
  <si>
    <t>Вишак (+) / мањак (–) редовног основног капитала</t>
  </si>
  <si>
    <t>Стопа регулаторног капитала (мин. 12%)</t>
  </si>
  <si>
    <t>Стопа основног капитала (мин. 9%)</t>
  </si>
  <si>
    <t xml:space="preserve">Стопа редовног основног капитала (мин. 6,75%) </t>
  </si>
  <si>
    <t>Кратк. кредити
 &lt; 1 год.</t>
  </si>
  <si>
    <t>1. Ставке ванбиланса са фактором конверзије</t>
  </si>
  <si>
    <t xml:space="preserve">        10%</t>
  </si>
  <si>
    <t>2. Остала имовина</t>
  </si>
  <si>
    <t xml:space="preserve">        20%</t>
  </si>
  <si>
    <t xml:space="preserve">        50%</t>
  </si>
  <si>
    <t xml:space="preserve">        100%</t>
  </si>
  <si>
    <t>3. (-) Износ одбитних ставки активе – основни капитал</t>
  </si>
  <si>
    <t>4.Изложености стопе финансијске полуге (1+2+3)</t>
  </si>
  <si>
    <t>5. Основни капитал</t>
  </si>
  <si>
    <t>6. Стопа финансијске полуге (5/4)</t>
  </si>
  <si>
    <t>1. Заштитни слој ликвидности</t>
  </si>
  <si>
    <t>3. Коефицијент покрића ликвидности - LCR (1/2)</t>
  </si>
  <si>
    <t>Износ депозита</t>
  </si>
  <si>
    <t>Износ кредита</t>
  </si>
  <si>
    <t>УКУПНО (1.+2.)</t>
  </si>
  <si>
    <t xml:space="preserve">УКУПНО </t>
  </si>
  <si>
    <t xml:space="preserve"> 2. Пословне јединице банака ФБиХ</t>
  </si>
  <si>
    <t>2. Просјечна нето актива</t>
  </si>
  <si>
    <t>3. Просјечни укупни капитал</t>
  </si>
  <si>
    <t>1. Нето добит</t>
  </si>
  <si>
    <t>а) Приходи од камата и слични приходи</t>
  </si>
  <si>
    <t>ДОБИТ ПРИЈЕ ОПОРЕЗИВАЊА</t>
  </si>
  <si>
    <t>ГУБИТАК</t>
  </si>
  <si>
    <t>ПОРЕЗИ</t>
  </si>
  <si>
    <t>Добит по основу повећ.одл.пор.средст. и смањ.одл.пор.обав.</t>
  </si>
  <si>
    <t>Губит. по основу смањ.одл.пор.средст. и повећ.одл.пор.обав.</t>
  </si>
  <si>
    <t>НЕТО-ДОБИТ</t>
  </si>
  <si>
    <t>НЕТО - ГУБИТАК</t>
  </si>
  <si>
    <t>2. Нето ликвидносни одливи</t>
  </si>
  <si>
    <t>* Укупне приходе чине нето каматни приход и оперативни приход</t>
  </si>
  <si>
    <t>9. Укупни оперативни расходи</t>
  </si>
  <si>
    <t>10. Укупни приходи умањени за остале пословне и директне трошкове*</t>
  </si>
  <si>
    <t>11. Нето каматни приход/просјечна нето актива</t>
  </si>
  <si>
    <t>12. Оперативни приходи/просјечна нето актива</t>
  </si>
  <si>
    <t>13.   Укупни оперативни расходи/
Укупни приходи умањени за остале пословне и директне трошкове (CIR)</t>
  </si>
  <si>
    <t>О П И С</t>
  </si>
  <si>
    <t>НКС</t>
  </si>
  <si>
    <t>ЕКС</t>
  </si>
  <si>
    <t>Унутарбанкарске платне трансакције</t>
  </si>
  <si>
    <t>Међубанкарске платне трансакције</t>
  </si>
  <si>
    <t>Број трансакција</t>
  </si>
  <si>
    <t>5. УКУПНО</t>
  </si>
  <si>
    <t>БАНКА</t>
  </si>
  <si>
    <t xml:space="preserve">СЈЕДИШТЕ </t>
  </si>
  <si>
    <t>АДРЕСА</t>
  </si>
  <si>
    <t>ПРЕДСЈЕДНИК УПРАВЕ</t>
  </si>
  <si>
    <t>Напомена:</t>
  </si>
  <si>
    <t>Агенција за банкарство Републике Српске</t>
  </si>
  <si>
    <t xml:space="preserve"> 2.1. орочена штедња</t>
  </si>
  <si>
    <t xml:space="preserve"> 2.2. штедња по виђењу</t>
  </si>
  <si>
    <t>3. Кредити/Штедња</t>
  </si>
  <si>
    <t>5. Укупно депозити (2+4)</t>
  </si>
  <si>
    <t>6. Кредити/Укупни депозити</t>
  </si>
  <si>
    <t>Укупни кредити</t>
  </si>
  <si>
    <t>Помоћна табела</t>
  </si>
  <si>
    <t>НКС = номиналне каматне стопе; ЕКС = ефективне каматне стопе</t>
  </si>
  <si>
    <t>1.1.1.10</t>
  </si>
  <si>
    <t>(–) Одложена пореска имовина - средства која зависи од будуће   профитабилности  и не произилази из привремених разлика умањених за повезане пореске обавезе</t>
  </si>
  <si>
    <t>(–) Одложена пореска имовина - средства која зависи од будуће профитабилности  и произилази из привремених разлика</t>
  </si>
  <si>
    <t>Укупни капитал</t>
  </si>
  <si>
    <t>NKS</t>
  </si>
  <si>
    <t>6. Нето каматни приход</t>
  </si>
  <si>
    <t>8. Oстали пословни и директни трошкови</t>
  </si>
  <si>
    <t>4.  ROAA (1/2)</t>
  </si>
  <si>
    <t>5.  ROAE (1/3)</t>
  </si>
  <si>
    <t>Готовинске платне трансакције</t>
  </si>
  <si>
    <t>Безготовинске платне трансакције</t>
  </si>
  <si>
    <t>УКУПНО (1-2+3)</t>
  </si>
  <si>
    <t>Опис</t>
  </si>
  <si>
    <t>Учешће</t>
  </si>
  <si>
    <t>Остало</t>
  </si>
  <si>
    <t>Ниво кредитног ризика</t>
  </si>
  <si>
    <t>ECL</t>
  </si>
  <si>
    <t>Укупнo ECL</t>
  </si>
  <si>
    <t>Стопа NPL</t>
  </si>
  <si>
    <t>Укупни кредити правна лица</t>
  </si>
  <si>
    <t>А - Пољопривреда, шумарство и риболов</t>
  </si>
  <si>
    <t>B - Вађење руда и камена</t>
  </si>
  <si>
    <t>C - Прерађивачка индустрија</t>
  </si>
  <si>
    <t>D - Производња и снадбијевање електричном енергијом, гасом, паром и климатизација</t>
  </si>
  <si>
    <t>E - Снадбијевање водом; канализација, управљање отпадом и дјелатности санације (ремедијације) животне средине</t>
  </si>
  <si>
    <t>F - Грађевинарство</t>
  </si>
  <si>
    <t>G - Трговина на велико и на мало; поправак моторних возила и мотоцикала</t>
  </si>
  <si>
    <t>H - Саобраћај и складиштење</t>
  </si>
  <si>
    <t>I - Дјелатности пружања смјештаја, припреме и послуживања хране; хотелијерство и угоститељство</t>
  </si>
  <si>
    <t>Ј - Информације и комуникације</t>
  </si>
  <si>
    <t>К - Финансијске дјелатности и дјелатности осигурања</t>
  </si>
  <si>
    <t>L - Пословање некретнинама</t>
  </si>
  <si>
    <t>M - Стручне, научне и техничке дјелатности</t>
  </si>
  <si>
    <t>N - Административне и помоћне услужне дјелатности</t>
  </si>
  <si>
    <t>O - Јавна управа и одбрана; обавезно социјално осигурање</t>
  </si>
  <si>
    <t>P - Образовање</t>
  </si>
  <si>
    <t>Q - Дјелатности здравствене заштите и социјалног рада</t>
  </si>
  <si>
    <t>R - Умјетност, забава и рекреација</t>
  </si>
  <si>
    <t>S - Остале услужне дјелатности</t>
  </si>
  <si>
    <t>T - Дјелатности домаћинстава као послодаваца; дјелатности домаћинстава која производе различиту робу и обављају различите услуге за сопствену употребу</t>
  </si>
  <si>
    <t>U - Дјелатности екстериторијалних организација и органа</t>
  </si>
  <si>
    <t>Укупни кредити становништва</t>
  </si>
  <si>
    <t xml:space="preserve"> Општа потрошња</t>
  </si>
  <si>
    <t xml:space="preserve"> Стамбена изградња</t>
  </si>
  <si>
    <t xml:space="preserve">Обављање дјелатности </t>
  </si>
  <si>
    <t xml:space="preserve">Укупни кредити </t>
  </si>
  <si>
    <t>Стопа покрив.</t>
  </si>
  <si>
    <t>Биланс</t>
  </si>
  <si>
    <t>Финансијска имовина по амортизованом трошку</t>
  </si>
  <si>
    <t xml:space="preserve">   Дужничке хартије од вриједности</t>
  </si>
  <si>
    <t xml:space="preserve">   Кредити  </t>
  </si>
  <si>
    <t xml:space="preserve">   Остала актива</t>
  </si>
  <si>
    <t>Финансијска имовина по фер вриједности кроз биланс успјеха</t>
  </si>
  <si>
    <t>Остала финансијска потраживања</t>
  </si>
  <si>
    <t>Ванбиланс</t>
  </si>
  <si>
    <t>Издате гаранције</t>
  </si>
  <si>
    <t>Непокривени акредитиви</t>
  </si>
  <si>
    <t>Неопозиво одобрени, неискориштени кредити</t>
  </si>
  <si>
    <t>Остале потенцијалне обавезе банке</t>
  </si>
  <si>
    <t>Ниво кредитног ризика 1</t>
  </si>
  <si>
    <t>Ниво кредитног ризика 2</t>
  </si>
  <si>
    <t>Ниво кредитног ризика 3</t>
  </si>
  <si>
    <t>Кредити</t>
  </si>
  <si>
    <t>Укупно кредити</t>
  </si>
  <si>
    <t>Депозити</t>
  </si>
  <si>
    <t>Tab 3</t>
  </si>
  <si>
    <t>Tab 5</t>
  </si>
  <si>
    <t>Tab 8</t>
  </si>
  <si>
    <t>Tab 10</t>
  </si>
  <si>
    <t>Tab 17</t>
  </si>
  <si>
    <t>3. Пласмани другим банкама</t>
  </si>
  <si>
    <t>1) Каматоносни рачуни депозита код депозитних институција</t>
  </si>
  <si>
    <t>а) Пословни и директни расходи</t>
  </si>
  <si>
    <t>б) Оперативни расходи</t>
  </si>
  <si>
    <t>6. ПОРЕЗИ</t>
  </si>
  <si>
    <t>010</t>
  </si>
  <si>
    <t>015</t>
  </si>
  <si>
    <t>020</t>
  </si>
  <si>
    <t>030</t>
  </si>
  <si>
    <t>040</t>
  </si>
  <si>
    <t>050</t>
  </si>
  <si>
    <t>060</t>
  </si>
  <si>
    <t>070</t>
  </si>
  <si>
    <t xml:space="preserve">   Емисиона премија на акције</t>
  </si>
  <si>
    <t>090</t>
  </si>
  <si>
    <t>110</t>
  </si>
  <si>
    <t>091</t>
  </si>
  <si>
    <t xml:space="preserve">   (–) Улагања у инструменте редовног основног капитала за које Агенција утврди да не представља реално и прихватљиво повећање регулаторног капитала</t>
  </si>
  <si>
    <t>092</t>
  </si>
  <si>
    <t>130</t>
  </si>
  <si>
    <t>140</t>
  </si>
  <si>
    <t>150</t>
  </si>
  <si>
    <t>160</t>
  </si>
  <si>
    <t>170</t>
  </si>
  <si>
    <t>180</t>
  </si>
  <si>
    <t>190</t>
  </si>
  <si>
    <t>200</t>
  </si>
  <si>
    <t>270</t>
  </si>
  <si>
    <t>290</t>
  </si>
  <si>
    <t>310</t>
  </si>
  <si>
    <t>340</t>
  </si>
  <si>
    <t>1.1.1.11</t>
  </si>
  <si>
    <t>350</t>
  </si>
  <si>
    <t>370</t>
  </si>
  <si>
    <t>440</t>
  </si>
  <si>
    <t>490</t>
  </si>
  <si>
    <t>500</t>
  </si>
  <si>
    <t>530</t>
  </si>
  <si>
    <t>540</t>
  </si>
  <si>
    <t>ДОДАТНИ ОСНОВНИ КАПИТАЛ</t>
  </si>
  <si>
    <t>720</t>
  </si>
  <si>
    <t>740</t>
  </si>
  <si>
    <t>750</t>
  </si>
  <si>
    <t>760</t>
  </si>
  <si>
    <t>ДОПУНСКИ КАПИТАЛ</t>
  </si>
  <si>
    <t>890</t>
  </si>
  <si>
    <t>920</t>
  </si>
  <si>
    <t>970</t>
  </si>
  <si>
    <t>978</t>
  </si>
  <si>
    <t>Банке РС и организациони дијелови банака из ФБиХ у РС</t>
  </si>
  <si>
    <t>Тржишно учешће банака у укупној активи, капиталу и депозитима</t>
  </si>
  <si>
    <t>Актива по запосленом</t>
  </si>
  <si>
    <t>Секторска структура депозита</t>
  </si>
  <si>
    <t>Структура депозита по валути</t>
  </si>
  <si>
    <t>Рочна структура депозита</t>
  </si>
  <si>
    <t>Структура ванбилансне активе</t>
  </si>
  <si>
    <t>Структура новчаних средстава</t>
  </si>
  <si>
    <t>Секторска структура укупних кредита</t>
  </si>
  <si>
    <t>Прикупљени депозити и пласирани кредити</t>
  </si>
  <si>
    <t>Биланс успјеха банкарског сектора РС</t>
  </si>
  <si>
    <t>ROAA и ROAE показатељи</t>
  </si>
  <si>
    <t>Укупна финансијска имовина према начину вредновања и ЕCL</t>
  </si>
  <si>
    <t>Укупна финансијска имовина према нивоима кредитног ризика</t>
  </si>
  <si>
    <t>Преглед кредита правним и физичким лицима према нивоу кредитног ризика и припадајући ECL</t>
  </si>
  <si>
    <t>Просјечне пондерисане каматне стопе на кредите</t>
  </si>
  <si>
    <t>Просјечне пондерисане каматне стопе на депозите</t>
  </si>
  <si>
    <t>Просјечне пондерисане каматне стопе на прекорачења и депозите по виђењу</t>
  </si>
  <si>
    <t xml:space="preserve">Укупна изложеност банкарског сектора ризику </t>
  </si>
  <si>
    <t>Показатељи адекватности капитала</t>
  </si>
  <si>
    <t>Стопа финансијске полуге</t>
  </si>
  <si>
    <t>Основни подаци о банкама</t>
  </si>
  <si>
    <t>Tab 1</t>
  </si>
  <si>
    <t>Tab 2</t>
  </si>
  <si>
    <t>Tab 4</t>
  </si>
  <si>
    <t>Tab 6</t>
  </si>
  <si>
    <t>Tab 7</t>
  </si>
  <si>
    <t>Tab 9</t>
  </si>
  <si>
    <t>Tab 11</t>
  </si>
  <si>
    <t>Tab 12</t>
  </si>
  <si>
    <t>Tab 13</t>
  </si>
  <si>
    <t>Tab 14</t>
  </si>
  <si>
    <t>Tab 15</t>
  </si>
  <si>
    <t>Tab 16</t>
  </si>
  <si>
    <t>Tab 18</t>
  </si>
  <si>
    <t>Tab 19</t>
  </si>
  <si>
    <t>Tab 20</t>
  </si>
  <si>
    <t>Tab 21</t>
  </si>
  <si>
    <t>Tab 22</t>
  </si>
  <si>
    <t>Tab 23</t>
  </si>
  <si>
    <t>Tab 24</t>
  </si>
  <si>
    <t>Tab 25</t>
  </si>
  <si>
    <t>Tab 26</t>
  </si>
  <si>
    <t>Tab 27</t>
  </si>
  <si>
    <t>Tab 28</t>
  </si>
  <si>
    <t>Tab 29</t>
  </si>
  <si>
    <t>Tab 30</t>
  </si>
  <si>
    <t>Tab 31</t>
  </si>
  <si>
    <t>Tab 32</t>
  </si>
  <si>
    <t>Tab 33</t>
  </si>
  <si>
    <t>Tab 34</t>
  </si>
  <si>
    <t>Pr 1</t>
  </si>
  <si>
    <t>Pr 2</t>
  </si>
  <si>
    <t>Табеле</t>
  </si>
  <si>
    <t>Рочна и секторска структура депозита</t>
  </si>
  <si>
    <t>Рочна и секторска структура кредита</t>
  </si>
  <si>
    <t>Рочна структура кредита</t>
  </si>
  <si>
    <t>Задуженост становништва по кредитима (осим кредита за обављање дјелатности)</t>
  </si>
  <si>
    <t xml:space="preserve">   Новчана средства, новч. пот. и ост. депоз. по виђењу</t>
  </si>
  <si>
    <t>Унутрашњи платни промет</t>
  </si>
  <si>
    <t>KRD</t>
  </si>
  <si>
    <t>PDB</t>
  </si>
  <si>
    <t>KPL</t>
  </si>
  <si>
    <t>VPD</t>
  </si>
  <si>
    <t>VVP</t>
  </si>
  <si>
    <t>PVO</t>
  </si>
  <si>
    <t>OPK</t>
  </si>
  <si>
    <t>UPK</t>
  </si>
  <si>
    <t>DEP</t>
  </si>
  <si>
    <t>UDB</t>
  </si>
  <si>
    <t>UDO</t>
  </si>
  <si>
    <t>OKP</t>
  </si>
  <si>
    <t>SDO</t>
  </si>
  <si>
    <t>OSR</t>
  </si>
  <si>
    <t>URH</t>
  </si>
  <si>
    <t>PPD</t>
  </si>
  <si>
    <t>NPK</t>
  </si>
  <si>
    <t>NVB</t>
  </si>
  <si>
    <t>NIU</t>
  </si>
  <si>
    <t>PPT</t>
  </si>
  <si>
    <t>OOP</t>
  </si>
  <si>
    <t>UOP</t>
  </si>
  <si>
    <t>TRG</t>
  </si>
  <si>
    <t>OPT</t>
  </si>
  <si>
    <t>UPD</t>
  </si>
  <si>
    <t>TPD</t>
  </si>
  <si>
    <t>TPA</t>
  </si>
  <si>
    <t>OOT</t>
  </si>
  <si>
    <t>UOR</t>
  </si>
  <si>
    <t>UNR</t>
  </si>
  <si>
    <t>4DP</t>
  </si>
  <si>
    <t>5GB</t>
  </si>
  <si>
    <t>6PR</t>
  </si>
  <si>
    <t>7DB</t>
  </si>
  <si>
    <t>8GB</t>
  </si>
  <si>
    <t>9ND</t>
  </si>
  <si>
    <t>9NG</t>
  </si>
  <si>
    <t>Остали организациони дијелови</t>
  </si>
  <si>
    <t>POS уређаји</t>
  </si>
  <si>
    <t>мил. КМ</t>
  </si>
  <si>
    <t>у укупној активи</t>
  </si>
  <si>
    <t>у укупном капиталу</t>
  </si>
  <si>
    <t>у депозитима</t>
  </si>
  <si>
    <t>АКТИВА (ИМОВИНА)</t>
  </si>
  <si>
    <t>Јавна и државна предузећа</t>
  </si>
  <si>
    <t>Приватна предузећа и друштва</t>
  </si>
  <si>
    <t>Непрофитне организације</t>
  </si>
  <si>
    <t xml:space="preserve">Банке и банкарске институције </t>
  </si>
  <si>
    <t>Небанкарске фин. институције</t>
  </si>
  <si>
    <t>Влада и владине инст.</t>
  </si>
  <si>
    <t>Привреда</t>
  </si>
  <si>
    <t>Банке и др.фин.инст.</t>
  </si>
  <si>
    <t>за општу потрошњу</t>
  </si>
  <si>
    <t>за стамбене потребе</t>
  </si>
  <si>
    <t>куповина робе шир. потрош.</t>
  </si>
  <si>
    <t>куповина аутомобила</t>
  </si>
  <si>
    <t>по картицама</t>
  </si>
  <si>
    <t>прекорачења по рачунима</t>
  </si>
  <si>
    <t>куповина хартија од вријед.</t>
  </si>
  <si>
    <t>ломбардни кредити</t>
  </si>
  <si>
    <t>Индекс депозита</t>
  </si>
  <si>
    <t>Индекс кредита</t>
  </si>
  <si>
    <t>ФИНАНСИЈСКА ИМОВИНА</t>
  </si>
  <si>
    <t>Понд. кам. стопе на кратк. кредите</t>
  </si>
  <si>
    <t>Кредити влади и влад. инст.</t>
  </si>
  <si>
    <t>Привреди</t>
  </si>
  <si>
    <t>Становништву</t>
  </si>
  <si>
    <t>Остали кредити</t>
  </si>
  <si>
    <t>Понд. кам. стопе на дуг. кредите</t>
  </si>
  <si>
    <t>Стамбени кредити</t>
  </si>
  <si>
    <t>Понд. кам. стопе на укупне кредите</t>
  </si>
  <si>
    <t>Рочна структура депозита по преосталом доспијећу</t>
  </si>
  <si>
    <t xml:space="preserve"> %</t>
  </si>
  <si>
    <t>1 - 7 дана</t>
  </si>
  <si>
    <t>8 - 15 дана</t>
  </si>
  <si>
    <t>16 -30 дана</t>
  </si>
  <si>
    <t>31 -90 дана</t>
  </si>
  <si>
    <t>91 -180 дана</t>
  </si>
  <si>
    <t>181 -365 дана</t>
  </si>
  <si>
    <t>1. Укупно краткорочни</t>
  </si>
  <si>
    <t>Преко 5 година</t>
  </si>
  <si>
    <t>2. Укупно дугорочни</t>
  </si>
  <si>
    <t>Укупно (I + II)</t>
  </si>
  <si>
    <t>Показатељи ликвидности</t>
  </si>
  <si>
    <t>Ликвидна средства*/нето актива</t>
  </si>
  <si>
    <t>Ликвидна средства*/краткорочне финансијске обавезе</t>
  </si>
  <si>
    <t>Краткорочне финансијске обавезе/укупне финансијске обавезе</t>
  </si>
  <si>
    <t>Кредити/(депозити и узети кредити)</t>
  </si>
  <si>
    <t>Кредити/(депозити и узети кредити и субординисани дугови)</t>
  </si>
  <si>
    <t>*Ликвидна средства у ужем смислу: готовина и депозити и друга финансијска средства са преосталим роком доспијећа мањим од три мјесеца, искључујући међубанкарске депозите</t>
  </si>
  <si>
    <t>1.Ликвидна средства*</t>
  </si>
  <si>
    <t>2. Нето актива</t>
  </si>
  <si>
    <t>3. Краткорочне финансијске обавезе</t>
  </si>
  <si>
    <t>4. Укупне финансијске обавезе</t>
  </si>
  <si>
    <t>5. Бруто кредити</t>
  </si>
  <si>
    <t>6. Депозити</t>
  </si>
  <si>
    <t>7. Узети кредити</t>
  </si>
  <si>
    <t>8. Субординисани дугови</t>
  </si>
  <si>
    <t>Пондерисане каматне стопе на кредите (прекорачења по рачунима)</t>
  </si>
  <si>
    <t xml:space="preserve">Понд. кам. стопе на депозите по виђењу </t>
  </si>
  <si>
    <t>Кредитни ризик</t>
  </si>
  <si>
    <t>Тржишни ризик (девизни ризик)</t>
  </si>
  <si>
    <t>Оперативни ризик</t>
  </si>
  <si>
    <t>Износ (у мил. КМ)</t>
  </si>
  <si>
    <t>Актива</t>
  </si>
  <si>
    <t>Финансијска имовина по фер вриједности кроз остали укупни резултат*</t>
  </si>
  <si>
    <t>*У складу са новом регулативом ECL на дужничке хартије од вриједности евидентиран је кроз остали ук. резултат као ставка капитала</t>
  </si>
  <si>
    <t>мил.КМ</t>
  </si>
  <si>
    <t>Биланс стања</t>
  </si>
  <si>
    <t>Нето актива</t>
  </si>
  <si>
    <t>мил. КМ и %</t>
  </si>
  <si>
    <t>Стопа покр. NPL</t>
  </si>
  <si>
    <t>Коефицијент покрића ликвидности - LCR</t>
  </si>
  <si>
    <t>a4</t>
  </si>
  <si>
    <t>a12</t>
  </si>
  <si>
    <t>a16</t>
  </si>
  <si>
    <t>a17</t>
  </si>
  <si>
    <t>Намјена кред. за опш. потрошњу</t>
  </si>
  <si>
    <t>укупно правна лица и становништво</t>
  </si>
  <si>
    <t>Банке и др. фин.инст.</t>
  </si>
  <si>
    <t>за обављ. дјелатности</t>
  </si>
  <si>
    <t>остали кредити за општу потрошњу</t>
  </si>
  <si>
    <t>ненамјенски готовински кредити</t>
  </si>
  <si>
    <t xml:space="preserve"> 3. УКУПНО</t>
  </si>
  <si>
    <t>7. Оперативни приходи</t>
  </si>
  <si>
    <t>Pr 3</t>
  </si>
  <si>
    <t>Кредити банкама и другим фин. инст.</t>
  </si>
  <si>
    <t>Понд. кам. стопе на укупне депозите</t>
  </si>
  <si>
    <t>Понд. каматне стопе на дугор. депозите</t>
  </si>
  <si>
    <t>Понд. каматне стопе на кратк. депозите</t>
  </si>
  <si>
    <t xml:space="preserve">Подаци се објављују са циљем правовремене информисаности  јавности, медија и других корисника о основним показатељима пословања банкарског сектора, али напомињемо да се коначним подацима сматрају подаци објављени у Извјештају о банкарском систему Републике Српске који усваја Управни одбор Агенције за банкарство Републике Српске, те који се објављује на кварталној основи на нашој званичној интернет страници.  </t>
  </si>
  <si>
    <t>Влада и владине институције</t>
  </si>
  <si>
    <t>Износ         (у мил. КМ)</t>
  </si>
  <si>
    <t>Становништво</t>
  </si>
  <si>
    <t>1. Кредити становништва</t>
  </si>
  <si>
    <t>2. Штедња становништва</t>
  </si>
  <si>
    <t>4. Текући рачуни становништва</t>
  </si>
  <si>
    <t>Кредити и штедња становништва</t>
  </si>
  <si>
    <t>Становништвo</t>
  </si>
  <si>
    <t>1. Краткорочни кредити становништва</t>
  </si>
  <si>
    <t>2. Дугорочни кредити становништва</t>
  </si>
  <si>
    <t>Структура кредита становништву банака РС и посл. јединица банака из ФБиХ</t>
  </si>
  <si>
    <t>Намјенска структура кредита становништву за општу потрошњу</t>
  </si>
  <si>
    <t>Преглед кредита правним лицима и становништву према нивоу кредитног ризика и припадајући ECL</t>
  </si>
  <si>
    <t>Ризични ванбиланс</t>
  </si>
  <si>
    <t>1. Неопозиво одобрени, а неискоришћени кредити</t>
  </si>
  <si>
    <t xml:space="preserve">2. Непокривени акредитиви </t>
  </si>
  <si>
    <t>3. Издате гаранције</t>
  </si>
  <si>
    <t xml:space="preserve">    3.1. Плативе гаранције</t>
  </si>
  <si>
    <t xml:space="preserve">    3.2. Чинидбене гаранције</t>
  </si>
  <si>
    <t xml:space="preserve">4. Остале ванбилансне ставке </t>
  </si>
  <si>
    <t>Опозиве кредитне обавезе</t>
  </si>
  <si>
    <t>Комисиони послови</t>
  </si>
  <si>
    <t>1. Новчана средства</t>
  </si>
  <si>
    <t xml:space="preserve">2. Хартије од вриједности </t>
  </si>
  <si>
    <t>5. Пословни простор и остала фиксна актива</t>
  </si>
  <si>
    <t>6. Остала актива</t>
  </si>
  <si>
    <t xml:space="preserve">БРУТО БИЛАНСНА АКТИВА </t>
  </si>
  <si>
    <t>8. Исправке вриједности</t>
  </si>
  <si>
    <t xml:space="preserve">   8.1. Исправке вриједности за ставке кредита</t>
  </si>
  <si>
    <t xml:space="preserve">   8.2. Исправке вријед. за ставке активе осим кредита</t>
  </si>
  <si>
    <t xml:space="preserve">НЕТО БИЛАНСНА АКТИВА </t>
  </si>
  <si>
    <t>ОБАВЕЗE</t>
  </si>
  <si>
    <t>10. Депозити</t>
  </si>
  <si>
    <t>11. Обавезе по узетим кредитима</t>
  </si>
  <si>
    <t>12. Субординисани дугови</t>
  </si>
  <si>
    <t>КАПИТАЛ</t>
  </si>
  <si>
    <t>девизе</t>
  </si>
  <si>
    <t>Tab 0</t>
  </si>
  <si>
    <t>Биланс успјеха</t>
  </si>
  <si>
    <t>a101a</t>
  </si>
  <si>
    <t>a101b</t>
  </si>
  <si>
    <t>a1</t>
  </si>
  <si>
    <t>a3</t>
  </si>
  <si>
    <t>a5</t>
  </si>
  <si>
    <t>a18b</t>
  </si>
  <si>
    <t>a26</t>
  </si>
  <si>
    <t>a2+a5</t>
  </si>
  <si>
    <t>a6+a7+a8+a9b</t>
  </si>
  <si>
    <t>a13+a14+a15+a18g</t>
  </si>
  <si>
    <t>1.                          ПРИХОДИ И РАСХОДИ ПО КАМАТАМА</t>
  </si>
  <si>
    <t>2) Пласмани другим банкама</t>
  </si>
  <si>
    <t>3) Кредити и послови лизинга</t>
  </si>
  <si>
    <t>4) Вриједносни папири који се држе до доспијећа</t>
  </si>
  <si>
    <t>5) Власнички вриједносни папири</t>
  </si>
  <si>
    <t>6) Потраживања по пла}еним ванбилансним обавезама</t>
  </si>
  <si>
    <t>7) Остали приходи од камата и слични приходи</t>
  </si>
  <si>
    <t>8) УКУПНИ ПРИХОДИ ОД КАМАТА И СЛИЧНИ ПРИХОДИ  (1 до 7)</t>
  </si>
  <si>
    <t>б) Расходи по каматама и слични расходи</t>
  </si>
  <si>
    <t xml:space="preserve">1) Депозити </t>
  </si>
  <si>
    <t>2) Узете позајмице од других банака</t>
  </si>
  <si>
    <t>3) Узете позајмице - доспјеле обавезе</t>
  </si>
  <si>
    <t>4) Обавезе по узетим кредитима и осталим позајмицама</t>
  </si>
  <si>
    <t>5) Субординисани дугови и субординисане обвезнице</t>
  </si>
  <si>
    <t>6) Остали расходи по каматама и сл. расходи</t>
  </si>
  <si>
    <t>7) УКУПНИ РАСХОДИ ПО КАМАТАМА И СЛ.РАСХОДИ  (1 до 6)</t>
  </si>
  <si>
    <t xml:space="preserve">в) НЕТО КАМАТА И СЛИЧНИ ПРИХОДИ     а.8)-б.7)    </t>
  </si>
  <si>
    <t>2.                              ОПЕРАТИВНИ ПРИХОДИ</t>
  </si>
  <si>
    <t>а) Приходи из пословања са девизама</t>
  </si>
  <si>
    <t>б) Накнаде по кредитима</t>
  </si>
  <si>
    <t xml:space="preserve">в) Накнаде по ванбилансним пословима </t>
  </si>
  <si>
    <t>г) Накнаде за извршене услуге</t>
  </si>
  <si>
    <t>д) Приход из послова трговања</t>
  </si>
  <si>
    <t>ђ) Остали оперативни приходи</t>
  </si>
  <si>
    <t>е) УКУПНИ ОПЕРАТИВНИ ПРИХОДИ (а до ђ )</t>
  </si>
  <si>
    <t xml:space="preserve"> 3.                           НЕКАМАТОНОСНИ РАСХОДИ</t>
  </si>
  <si>
    <t>1)  Тро{к. резерви за општи кред.ризик и пот. кред. и др. губитке</t>
  </si>
  <si>
    <t>2)  Остали пословни и директни тро{кови</t>
  </si>
  <si>
    <t>3)  УКУПНИ ПОСЛОВНИ И ДИРЕКТНИ РАСХОДИ    1) + 2)</t>
  </si>
  <si>
    <t>1)  Трошкови плата и доприноса</t>
  </si>
  <si>
    <t>2)  Трошкови пословног простора, остале фиксне активе и ре`ија</t>
  </si>
  <si>
    <t>3)  Остали оперативни трошкови</t>
  </si>
  <si>
    <t>4)  УКУПНИ ОПЕРАТИВНИ РАСХОДИ   (1 до 3)</t>
  </si>
  <si>
    <t xml:space="preserve">в) УКУПНИ НЕКАМАТОНОСНИ РАСХОДИ   а.3) + б.4)  </t>
  </si>
  <si>
    <t>4.  ДОБИТ ПРИЈЕ ОПОРЕЗИВАЊА</t>
  </si>
  <si>
    <t>5.  ГУБИТАК</t>
  </si>
  <si>
    <t>7. Добит по основу одложених пор.средст и смањ.одлож.пор.обавеза</t>
  </si>
  <si>
    <t>8. Губитак по основу смањ.одлож.пор.средст. и повећања одл.пор.обав.</t>
  </si>
  <si>
    <t>9.  НЕТО-ДОБИТ (4. - 6. + 7. - 8.)</t>
  </si>
  <si>
    <t>10.  НЕТО-ГУБИТАК (5. + 6. - 7. + 8.)</t>
  </si>
  <si>
    <t xml:space="preserve">Биланс успјеха </t>
  </si>
  <si>
    <t xml:space="preserve">мил. КМ </t>
  </si>
  <si>
    <t xml:space="preserve"> Ставке редовног основног капитала</t>
  </si>
  <si>
    <t xml:space="preserve">   Остали укупни резултат</t>
  </si>
  <si>
    <t xml:space="preserve">   Остале резерве</t>
  </si>
  <si>
    <t xml:space="preserve"> (-) Одбитне ставке од редовног основног капитала</t>
  </si>
  <si>
    <t xml:space="preserve">   (–) Одложена пореска имовина </t>
  </si>
  <si>
    <t xml:space="preserve">   (–) Остали одбици од редовног основног капитала</t>
  </si>
  <si>
    <t xml:space="preserve"> (–) Одбици од додатног основног капитала</t>
  </si>
  <si>
    <t xml:space="preserve"> (–) Одбици од допунског капитала</t>
  </si>
  <si>
    <t xml:space="preserve">   (–) Нематеријала имовина</t>
  </si>
  <si>
    <t>РEДOВНИ OСНOВНИ KAПИTAЛ</t>
  </si>
  <si>
    <t xml:space="preserve">Kредити становништву </t>
  </si>
  <si>
    <t>Опште исправке вриједности</t>
  </si>
  <si>
    <t>978 од 01.01.2020 је увијек 0</t>
  </si>
  <si>
    <t>970 од 31.12.2021. увијек 0</t>
  </si>
  <si>
    <t>13. Резервисања за ванбилансне ставке</t>
  </si>
  <si>
    <t>14. Остале обавезе</t>
  </si>
  <si>
    <t>15. Капитал</t>
  </si>
  <si>
    <t>Пословне јединице/ Филијале</t>
  </si>
  <si>
    <t>ПАСИВА (ОБАВЕЗЕ И КАПИТАЛ)</t>
  </si>
  <si>
    <t>УКУПНО ВАНБИЛАНС</t>
  </si>
  <si>
    <t>Правна лица</t>
  </si>
  <si>
    <t>1. ПРИХОДИ ПО КАМАТАМА И СЛ. ПРИХОДИ</t>
  </si>
  <si>
    <t>б) Оперативни приходи</t>
  </si>
  <si>
    <t>2. УКУПНИ ПРИХОДИ (1.а+1.б)</t>
  </si>
  <si>
    <t>3. РАСХОДИ</t>
  </si>
  <si>
    <t>а) Расходи по каматама и слични расходи</t>
  </si>
  <si>
    <t>б) Пословни и директни расходи</t>
  </si>
  <si>
    <t>в) Оперативни расходи</t>
  </si>
  <si>
    <t>4. УКУПНИ РАСХОДИ (3.а+3.б+3.в)</t>
  </si>
  <si>
    <t>УКУПНИ ПРИХОДИ - РАСХОДИ (2.- 4.)</t>
  </si>
  <si>
    <t>Укупно кратк. депозити</t>
  </si>
  <si>
    <t>Укупно дугор. депозити</t>
  </si>
  <si>
    <t>Депозити по виђењу</t>
  </si>
  <si>
    <t>До 3 мјесеца</t>
  </si>
  <si>
    <t>До 1 године</t>
  </si>
  <si>
    <t xml:space="preserve">До 3 године </t>
  </si>
  <si>
    <t>Преко 3 године</t>
  </si>
  <si>
    <t>Укупно депозити</t>
  </si>
  <si>
    <t>од 1 до 5 година</t>
  </si>
  <si>
    <t>Коефицијент нето стабилних извора финансирања - NSFR</t>
  </si>
  <si>
    <t>1. Расположиво стабилно финансирање</t>
  </si>
  <si>
    <t>2. Потребно стабилно финансирање</t>
  </si>
  <si>
    <t>3.  Коефицијент нето стабилних извора финансирања - NSFR (1/2)</t>
  </si>
  <si>
    <t>03/2023.</t>
  </si>
  <si>
    <t>Банке из Републике Српске и организациони дијелови банака из ФБиХ у Републици Српској</t>
  </si>
  <si>
    <t>Структура кредита становништву банака из Републике Српске и пословних јединица банака из ФБиХ у Републици Српској</t>
  </si>
  <si>
    <t>Банке из Републике Српске</t>
  </si>
  <si>
    <t>II Организациони дијелови банака из ФБиХ у Републици Српској</t>
  </si>
  <si>
    <t>I Банке из Републике Српске</t>
  </si>
  <si>
    <t>Орг. дијелови банака из ФБиХ у Републици Српској</t>
  </si>
  <si>
    <t>1. банке из Републике Српске</t>
  </si>
  <si>
    <t>2. пословне јединице банака из Републике Српске у ФБиХ</t>
  </si>
  <si>
    <t>3. пословне јединице банака из ФБиХ у Републици Српској</t>
  </si>
  <si>
    <t>"Нова банка" а.д. Бања Лука</t>
  </si>
  <si>
    <t>"НЛБ банка" а.д. Бања Лука</t>
  </si>
  <si>
    <t>"UniCredit Bank" а.д. Бања Лука</t>
  </si>
  <si>
    <t>"Atos Bank" а.д. Бања Лука</t>
  </si>
  <si>
    <t>"Addiko Bank" а.д. Бања Лука</t>
  </si>
  <si>
    <t>"МФ банка" а.д. Бања Лука</t>
  </si>
  <si>
    <t>"Банка Поштанска штедионица" а.д. Бања Лука</t>
  </si>
  <si>
    <t>становништвo</t>
  </si>
  <si>
    <t>становништво</t>
  </si>
  <si>
    <t>Биланс успјеха банкарског сектора Републике Српске</t>
  </si>
  <si>
    <t xml:space="preserve"> 1. Банке Републике Српске</t>
  </si>
  <si>
    <t xml:space="preserve"> 4. Минус: Пословне јед. банака Републике Српске у ФБиХ</t>
  </si>
  <si>
    <t>ТАБЕЛЕ ЗА ИЗВЈЕШТАЈ О СТАЊУ У БАНКАРСКОМ СЕКТОРУ РЕПУБЛИКЕ СРПСКЕ</t>
  </si>
  <si>
    <t xml:space="preserve"> Депозити у страној валути</t>
  </si>
  <si>
    <t>352</t>
  </si>
  <si>
    <t>252</t>
  </si>
  <si>
    <t xml:space="preserve">Инструменти подређених друштава који су признати у допунском капиталу </t>
  </si>
  <si>
    <r>
      <rPr>
        <sz val="9"/>
        <color rgb="FFFF0000"/>
        <rFont val="Calibri"/>
        <family val="2"/>
        <charset val="204"/>
      </rPr>
      <t xml:space="preserve">У цјелости </t>
    </r>
    <r>
      <rPr>
        <sz val="9"/>
        <rFont val="Calibri"/>
        <family val="2"/>
        <charset val="204"/>
      </rPr>
      <t>уплаћени инструменти капитала</t>
    </r>
  </si>
  <si>
    <r>
      <t xml:space="preserve">Инструменти капитала </t>
    </r>
    <r>
      <rPr>
        <sz val="9"/>
        <color rgb="FFFF0000"/>
        <rFont val="Calibri"/>
        <family val="2"/>
        <charset val="204"/>
      </rPr>
      <t>и рачуни емисионе премије</t>
    </r>
    <r>
      <rPr>
        <sz val="9"/>
        <rFont val="Calibri"/>
        <family val="2"/>
        <charset val="204"/>
      </rPr>
      <t xml:space="preserve"> који се признају као додатни основни капитал</t>
    </r>
  </si>
  <si>
    <r>
      <t xml:space="preserve">Инструменти капитала </t>
    </r>
    <r>
      <rPr>
        <sz val="9"/>
        <color rgb="FFFF0000"/>
        <rFont val="Calibri"/>
        <family val="2"/>
        <charset val="204"/>
      </rPr>
      <t>и рачуни емисионе премије</t>
    </r>
    <r>
      <rPr>
        <sz val="9"/>
        <rFont val="Calibri"/>
        <family val="2"/>
        <charset val="204"/>
      </rPr>
      <t xml:space="preserve"> који се признају као допунски капитал</t>
    </r>
  </si>
  <si>
    <t>2023.</t>
  </si>
  <si>
    <t>06/2024.</t>
  </si>
  <si>
    <t>У цјелости уплаћени инструмeнти кaпитaлa</t>
  </si>
  <si>
    <t xml:space="preserve">   Задржана добит или губитак протеклих година</t>
  </si>
  <si>
    <r>
      <t xml:space="preserve">   Призната добит или губитак</t>
    </r>
    <r>
      <rPr>
        <strike/>
        <sz val="9"/>
        <rFont val="Calibri"/>
        <family val="2"/>
        <charset val="204"/>
        <scheme val="minor"/>
      </rPr>
      <t xml:space="preserve"> </t>
    </r>
    <r>
      <rPr>
        <sz val="9"/>
        <rFont val="Calibri"/>
        <family val="2"/>
        <charset val="204"/>
        <scheme val="minor"/>
      </rPr>
      <t>текуће године</t>
    </r>
  </si>
  <si>
    <t xml:space="preserve"> Инструменти капитала и рачуни емисионе премије који се признају као додатни основни капитал</t>
  </si>
  <si>
    <t xml:space="preserve"> Инструменти капитала и рачуни емисионе премије који се признају као допунски капитал</t>
  </si>
  <si>
    <t>2024.</t>
  </si>
  <si>
    <t>31.03.2025</t>
  </si>
  <si>
    <t>03/2025.</t>
  </si>
  <si>
    <t>31.12.2024</t>
  </si>
  <si>
    <t>"Наша банка" а.д. Бaња Лука</t>
  </si>
  <si>
    <t>03/2024.</t>
  </si>
  <si>
    <t>03/2021.</t>
  </si>
  <si>
    <t>03/2022.</t>
  </si>
  <si>
    <t>551</t>
  </si>
  <si>
    <t>771</t>
  </si>
  <si>
    <t>09/2024.</t>
  </si>
  <si>
    <t>01/2025.</t>
  </si>
  <si>
    <t>02/2025.</t>
  </si>
  <si>
    <t>Бања Лука</t>
  </si>
  <si>
    <t>Јеврејска 71</t>
  </si>
  <si>
    <t>Јеврејска 69</t>
  </si>
  <si>
    <t>Спас Благовестов Видаркинскy</t>
  </si>
  <si>
    <t>Алеја Светог Саве 13</t>
  </si>
  <si>
    <t>Алеја Светог Саве 61</t>
  </si>
  <si>
    <t>Милана Тепића 4</t>
  </si>
  <si>
    <t>Марије Бурсаћ 7</t>
  </si>
  <si>
    <t>Краља Алфонса XIII бр. 37А</t>
  </si>
  <si>
    <t>Ивана Фрање Јукића 1</t>
  </si>
  <si>
    <t>Синиша Аџић</t>
  </si>
  <si>
    <t>Горан Бабић</t>
  </si>
  <si>
    <t>Игор Јовичић</t>
  </si>
  <si>
    <t>Слађан Станић</t>
  </si>
  <si>
    <t>Александар Кременовић</t>
  </si>
  <si>
    <t>Марко Максимовић</t>
  </si>
  <si>
    <t>Дејан Вуклишевић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</si>
</sst>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0.0%"/>
    <numFmt numFmtId="167" formatCode="_ * #,##0.00_)\ _D_i_n_._ ;_ * \(#,##0.00\)\ _D_i_n_._ ;_ * &quot;-&quot;??_)\ _D_i_n_._ ;_ @_ "/>
    <numFmt numFmtId="168" formatCode="0.000"/>
    <numFmt numFmtId="169" formatCode="0.0000"/>
  </numFmts>
  <fonts count="8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rgb="FF63242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Calibri"/>
      <family val="2"/>
      <charset val="204"/>
    </font>
    <font>
      <b/>
      <sz val="9"/>
      <name val="Calibri"/>
      <family val="2"/>
      <charset val="204"/>
    </font>
    <font>
      <sz val="9"/>
      <color rgb="FF800000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color rgb="FF800000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rgb="FF80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rgb="FF632423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1"/>
      <color rgb="FF8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5"/>
      <color rgb="FF632423"/>
      <name val="Calibri"/>
      <family val="2"/>
      <charset val="204"/>
    </font>
    <font>
      <sz val="9"/>
      <color rgb="FF000000"/>
      <name val="Calibri"/>
      <family val="2"/>
      <charset val="204"/>
    </font>
    <font>
      <sz val="10"/>
      <name val="CYDutch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B050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9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11"/>
      <color theme="1"/>
      <name val="Segoe UI"/>
      <family val="2"/>
      <charset val="204"/>
    </font>
    <font>
      <b/>
      <sz val="9"/>
      <color theme="0"/>
      <name val="Calibri"/>
      <family val="2"/>
      <charset val="204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Calibri"/>
      <family val="2"/>
    </font>
    <font>
      <sz val="9"/>
      <color theme="0"/>
      <name val="Calibri"/>
      <family val="2"/>
      <charset val="204"/>
      <scheme val="minor"/>
    </font>
    <font>
      <b/>
      <sz val="10"/>
      <color theme="0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  <charset val="204"/>
    </font>
    <font>
      <sz val="9"/>
      <color rgb="FFFF0000"/>
      <name val="Calibri"/>
      <family val="2"/>
      <charset val="204"/>
      <scheme val="minor"/>
    </font>
    <font>
      <b/>
      <sz val="9"/>
      <color rgb="FF800000"/>
      <name val="Calibri"/>
      <family val="2"/>
      <scheme val="minor"/>
    </font>
    <font>
      <b/>
      <sz val="9"/>
      <color rgb="FF632423"/>
      <name val="Calibri"/>
      <family val="2"/>
      <scheme val="minor"/>
    </font>
    <font>
      <b/>
      <sz val="9"/>
      <name val="Calibri"/>
      <family val="2"/>
    </font>
    <font>
      <b/>
      <sz val="9"/>
      <name val="Calibri"/>
      <family val="2"/>
      <scheme val="minor"/>
    </font>
    <font>
      <sz val="8"/>
      <color rgb="FF632423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sz val="7"/>
      <color rgb="FFC00000"/>
      <name val="Calibri"/>
      <family val="2"/>
      <scheme val="minor"/>
    </font>
    <font>
      <sz val="9"/>
      <color rgb="FFC00000"/>
      <name val="Calibri"/>
      <family val="2"/>
      <charset val="204"/>
      <scheme val="minor"/>
    </font>
    <font>
      <b/>
      <sz val="9"/>
      <color theme="4" tint="-0.249977111117893"/>
      <name val="Calibri"/>
      <family val="2"/>
      <charset val="204"/>
      <scheme val="minor"/>
    </font>
    <font>
      <sz val="9"/>
      <color theme="4" tint="-0.249977111117893"/>
      <name val="Calibri"/>
      <family val="2"/>
      <charset val="204"/>
    </font>
    <font>
      <sz val="8"/>
      <color rgb="FFC00000"/>
      <name val="Calibri"/>
      <family val="2"/>
      <scheme val="minor"/>
    </font>
    <font>
      <sz val="8"/>
      <color rgb="FF80000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9"/>
      <color theme="1" tint="0.34998626667073579"/>
      <name val="Calibri"/>
      <family val="2"/>
      <charset val="204"/>
      <scheme val="minor"/>
    </font>
    <font>
      <b/>
      <sz val="9"/>
      <color theme="1" tint="0.34998626667073579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u/>
      <sz val="10"/>
      <color theme="10"/>
      <name val="CYDutchR"/>
    </font>
    <font>
      <b/>
      <sz val="8"/>
      <color theme="1"/>
      <name val="Calibri"/>
      <family val="2"/>
      <charset val="204"/>
    </font>
    <font>
      <sz val="9"/>
      <color rgb="FFFF0000"/>
      <name val="Calibri"/>
      <family val="2"/>
      <charset val="204"/>
    </font>
    <font>
      <sz val="9"/>
      <color theme="5" tint="-0.249977111117893"/>
      <name val="Calibri"/>
      <family val="2"/>
      <charset val="204"/>
      <scheme val="minor"/>
    </font>
    <font>
      <sz val="9"/>
      <color theme="0" tint="-0.14999847407452621"/>
      <name val="Calibri"/>
      <family val="2"/>
      <charset val="204"/>
      <scheme val="minor"/>
    </font>
    <font>
      <strike/>
      <sz val="9"/>
      <name val="Calibri"/>
      <family val="2"/>
      <charset val="204"/>
      <scheme val="minor"/>
    </font>
    <font>
      <sz val="9"/>
      <color theme="0" tint="-0.499984740745262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553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</fills>
  <borders count="186">
    <border>
      <left/>
      <right/>
      <top/>
      <bottom/>
      <diagonal/>
    </border>
    <border>
      <left style="dashed">
        <color theme="4" tint="-0.24994659260841701"/>
      </left>
      <right/>
      <top/>
      <bottom/>
      <diagonal/>
    </border>
    <border>
      <left/>
      <right style="dotted">
        <color rgb="FFA50021"/>
      </right>
      <top/>
      <bottom/>
      <diagonal/>
    </border>
    <border>
      <left/>
      <right style="dotted">
        <color rgb="FF800000"/>
      </right>
      <top/>
      <bottom/>
      <diagonal/>
    </border>
    <border>
      <left/>
      <right/>
      <top/>
      <bottom style="double">
        <color rgb="FF632423"/>
      </bottom>
      <diagonal/>
    </border>
    <border>
      <left/>
      <right/>
      <top/>
      <bottom style="thin">
        <color rgb="FF63242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rgb="FF63242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rgb="FF800000"/>
      </bottom>
      <diagonal/>
    </border>
    <border>
      <left/>
      <right style="dotted">
        <color rgb="FF808080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dotted">
        <color rgb="FF808080"/>
      </right>
      <top/>
      <bottom/>
      <diagonal/>
    </border>
    <border>
      <left/>
      <right style="dotted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tted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dotted">
        <color rgb="FF808080"/>
      </right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/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/>
      <top/>
      <bottom style="thin">
        <color rgb="FF808080"/>
      </bottom>
      <diagonal/>
    </border>
    <border>
      <left style="dotted">
        <color rgb="FF808080"/>
      </left>
      <right/>
      <top/>
      <bottom/>
      <diagonal/>
    </border>
    <border>
      <left/>
      <right/>
      <top style="thin">
        <color rgb="FF808080"/>
      </top>
      <bottom style="medium">
        <color rgb="FF808080"/>
      </bottom>
      <diagonal/>
    </border>
    <border>
      <left style="dotted">
        <color rgb="FF808080"/>
      </left>
      <right/>
      <top style="thin">
        <color rgb="FF808080"/>
      </top>
      <bottom style="medium">
        <color rgb="FF808080"/>
      </bottom>
      <diagonal/>
    </border>
    <border>
      <left/>
      <right style="dotted">
        <color rgb="FF808080"/>
      </right>
      <top style="thin">
        <color rgb="FF808080"/>
      </top>
      <bottom style="medium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808080"/>
      </right>
      <top/>
      <bottom style="dotted">
        <color rgb="FF808080"/>
      </bottom>
      <diagonal/>
    </border>
    <border>
      <left style="dotted">
        <color rgb="FF808080"/>
      </left>
      <right/>
      <top/>
      <bottom style="dotted">
        <color rgb="FF808080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/>
      <diagonal/>
    </border>
    <border>
      <left style="dotted">
        <color rgb="FF808080"/>
      </left>
      <right/>
      <top style="dotted">
        <color rgb="FF808080"/>
      </top>
      <bottom/>
      <diagonal/>
    </border>
    <border>
      <left style="dotted">
        <color rgb="FF808080"/>
      </left>
      <right style="dotted">
        <color rgb="FF808080"/>
      </right>
      <top/>
      <bottom style="thin">
        <color rgb="FF808080"/>
      </bottom>
      <diagonal/>
    </border>
    <border>
      <left style="dotted">
        <color rgb="FF808080"/>
      </left>
      <right/>
      <top/>
      <bottom style="medium">
        <color rgb="FF808080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rgb="FF800000"/>
      </left>
      <right/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dotted">
        <color theme="1" tint="0.499984740745262"/>
      </right>
      <top/>
      <bottom style="thin">
        <color theme="1"/>
      </bottom>
      <diagonal/>
    </border>
    <border>
      <left/>
      <right style="dotted">
        <color theme="1" tint="0.499984740745262"/>
      </right>
      <top/>
      <bottom/>
      <diagonal/>
    </border>
    <border>
      <left/>
      <right style="dotted">
        <color theme="1" tint="0.499984740745262"/>
      </right>
      <top style="thin">
        <color theme="1"/>
      </top>
      <bottom/>
      <diagonal/>
    </border>
    <border>
      <left/>
      <right style="dotted">
        <color theme="1" tint="0.499984740745262"/>
      </right>
      <top/>
      <bottom style="thin">
        <color theme="1" tint="0.499984740745262"/>
      </bottom>
      <diagonal/>
    </border>
    <border>
      <left style="dotted">
        <color theme="1" tint="0.499984740745262"/>
      </left>
      <right/>
      <top/>
      <bottom style="dotted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 style="dotted">
        <color theme="1" tint="0.499984740745262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/>
      <top/>
      <bottom style="thin">
        <color theme="1" tint="0.499984740745262"/>
      </bottom>
      <diagonal/>
    </border>
    <border>
      <left style="dotted">
        <color theme="1" tint="0.499984740745262"/>
      </left>
      <right/>
      <top/>
      <bottom/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dotted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/>
      <right style="dotted">
        <color rgb="FF800000"/>
      </right>
      <top/>
      <bottom style="thin">
        <color theme="0" tint="-0.499984740745262"/>
      </bottom>
      <diagonal/>
    </border>
    <border>
      <left/>
      <right style="dotted">
        <color rgb="FF800000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dotted">
        <color theme="0" tint="-0.499984740745262"/>
      </bottom>
      <diagonal/>
    </border>
    <border>
      <left style="dotted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rgb="FF808080"/>
      </left>
      <right/>
      <top/>
      <bottom style="dotted">
        <color theme="0" tint="-0.499984740745262"/>
      </bottom>
      <diagonal/>
    </border>
    <border>
      <left/>
      <right style="dotted">
        <color rgb="FF808080"/>
      </right>
      <top/>
      <bottom style="dotted">
        <color theme="0" tint="-0.499984740745262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indexed="64"/>
      </left>
      <right/>
      <top style="thin">
        <color rgb="FF808080"/>
      </top>
      <bottom style="medium">
        <color rgb="FF808080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1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auto="1"/>
      </bottom>
      <diagonal/>
    </border>
    <border>
      <left/>
      <right/>
      <top/>
      <bottom style="medium">
        <color theme="0" tint="-0.499984740745262"/>
      </bottom>
      <diagonal/>
    </border>
    <border>
      <left style="dotted">
        <color auto="1"/>
      </left>
      <right/>
      <top/>
      <bottom style="medium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auto="1"/>
      </bottom>
      <diagonal/>
    </border>
    <border>
      <left/>
      <right style="dotted">
        <color theme="0" tint="-0.499984740745262"/>
      </right>
      <top/>
      <bottom style="thin">
        <color auto="1"/>
      </bottom>
      <diagonal/>
    </border>
    <border>
      <left style="dotted">
        <color theme="0" tint="-0.499984740745262"/>
      </left>
      <right/>
      <top style="thin">
        <color auto="1"/>
      </top>
      <bottom/>
      <diagonal/>
    </border>
    <border>
      <left/>
      <right style="dotted">
        <color theme="0" tint="-0.499984740745262"/>
      </right>
      <top style="thin">
        <color auto="1"/>
      </top>
      <bottom/>
      <diagonal/>
    </border>
    <border>
      <left style="dotted">
        <color theme="0" tint="-0.499984740745262"/>
      </left>
      <right/>
      <top/>
      <bottom style="medium">
        <color theme="0" tint="-0.499984740745262"/>
      </bottom>
      <diagonal/>
    </border>
    <border>
      <left/>
      <right style="dotted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rgb="FF808080"/>
      </top>
      <bottom/>
      <diagonal/>
    </border>
    <border>
      <left style="dotted">
        <color rgb="FF808080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rgb="FF808080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rgb="FF808080"/>
      </bottom>
      <diagonal/>
    </border>
    <border>
      <left style="dotted">
        <color rgb="FF808080"/>
      </left>
      <right/>
      <top style="hair">
        <color rgb="FF808080"/>
      </top>
      <bottom style="hair">
        <color rgb="FF808080"/>
      </bottom>
      <diagonal/>
    </border>
    <border>
      <left/>
      <right/>
      <top style="hair">
        <color rgb="FF808080"/>
      </top>
      <bottom style="thin">
        <color rgb="FF808080"/>
      </bottom>
      <diagonal/>
    </border>
    <border>
      <left/>
      <right style="hair">
        <color rgb="FF808080"/>
      </right>
      <top/>
      <bottom/>
      <diagonal/>
    </border>
    <border>
      <left/>
      <right style="hair">
        <color rgb="FF808080"/>
      </right>
      <top style="thin">
        <color rgb="FF808080"/>
      </top>
      <bottom style="medium">
        <color rgb="FF808080"/>
      </bottom>
      <diagonal/>
    </border>
    <border>
      <left style="dotted">
        <color theme="1" tint="0.499984740745262"/>
      </left>
      <right/>
      <top/>
      <bottom style="dotted">
        <color rgb="FF808080"/>
      </bottom>
      <diagonal/>
    </border>
    <border>
      <left/>
      <right style="dotted">
        <color theme="1" tint="0.499984740745262"/>
      </right>
      <top/>
      <bottom style="dotted">
        <color rgb="FF808080"/>
      </bottom>
      <diagonal/>
    </border>
    <border>
      <left style="dotted">
        <color theme="1" tint="0.499984740745262"/>
      </left>
      <right/>
      <top/>
      <bottom style="thin">
        <color rgb="FF808080"/>
      </bottom>
      <diagonal/>
    </border>
    <border>
      <left/>
      <right style="dotted">
        <color theme="1" tint="0.499984740745262"/>
      </right>
      <top/>
      <bottom style="thin">
        <color rgb="FF808080"/>
      </bottom>
      <diagonal/>
    </border>
    <border>
      <left style="dotted">
        <color theme="1" tint="0.499984740745262"/>
      </left>
      <right/>
      <top style="thin">
        <color rgb="FF808080"/>
      </top>
      <bottom style="medium">
        <color rgb="FF808080"/>
      </bottom>
      <diagonal/>
    </border>
    <border>
      <left/>
      <right style="dotted">
        <color theme="1" tint="0.499984740745262"/>
      </right>
      <top style="thin">
        <color rgb="FF808080"/>
      </top>
      <bottom style="medium">
        <color rgb="FF808080"/>
      </bottom>
      <diagonal/>
    </border>
    <border>
      <left/>
      <right style="dotted">
        <color rgb="FF808080"/>
      </right>
      <top style="dotted">
        <color rgb="FF808080"/>
      </top>
      <bottom style="thin">
        <color rgb="FF808080"/>
      </bottom>
      <diagonal/>
    </border>
    <border>
      <left/>
      <right style="dotted">
        <color theme="1" tint="0.499984740745262"/>
      </right>
      <top style="dotted">
        <color theme="1" tint="0.499984740745262"/>
      </top>
      <bottom style="thin">
        <color theme="1" tint="0.499984740745262"/>
      </bottom>
      <diagonal/>
    </border>
    <border>
      <left style="dotted">
        <color rgb="FF808080"/>
      </left>
      <right/>
      <top/>
      <bottom style="hair">
        <color rgb="FF808080"/>
      </bottom>
      <diagonal/>
    </border>
    <border>
      <left/>
      <right/>
      <top/>
      <bottom style="hair">
        <color rgb="FF808080"/>
      </bottom>
      <diagonal/>
    </border>
    <border>
      <left/>
      <right/>
      <top/>
      <bottom style="hair">
        <color theme="0" tint="-0.499984740745262"/>
      </bottom>
      <diagonal/>
    </border>
    <border>
      <left style="hair">
        <color rgb="FF808080"/>
      </left>
      <right style="hair">
        <color rgb="FF808080"/>
      </right>
      <top/>
      <bottom/>
      <diagonal/>
    </border>
    <border>
      <left style="hair">
        <color rgb="FF808080"/>
      </left>
      <right style="hair">
        <color rgb="FF808080"/>
      </right>
      <top/>
      <bottom style="dotted">
        <color theme="1" tint="0.499984740745262"/>
      </bottom>
      <diagonal/>
    </border>
    <border>
      <left style="hair">
        <color rgb="FF808080"/>
      </left>
      <right/>
      <top/>
      <bottom style="dotted">
        <color theme="1" tint="0.499984740745262"/>
      </bottom>
      <diagonal/>
    </border>
    <border>
      <left style="hair">
        <color rgb="FF808080"/>
      </left>
      <right/>
      <top/>
      <bottom/>
      <diagonal/>
    </border>
    <border>
      <left/>
      <right style="hair">
        <color rgb="FF808080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 style="hair">
        <color rgb="FF808080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hair">
        <color rgb="FF808080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 style="hair">
        <color rgb="FF808080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rgb="FF808080"/>
      </right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/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thin">
        <color rgb="FF808080"/>
      </top>
      <bottom style="medium">
        <color rgb="FF808080"/>
      </bottom>
      <diagonal/>
    </border>
    <border>
      <left style="hair">
        <color rgb="FF808080"/>
      </left>
      <right/>
      <top style="thin">
        <color rgb="FF808080"/>
      </top>
      <bottom style="medium">
        <color rgb="FF808080"/>
      </bottom>
      <diagonal/>
    </border>
    <border>
      <left/>
      <right/>
      <top style="hair">
        <color rgb="FF808080"/>
      </top>
      <bottom style="hair">
        <color rgb="FF808080"/>
      </bottom>
      <diagonal/>
    </border>
    <border>
      <left/>
      <right style="dotted">
        <color rgb="FF808080"/>
      </right>
      <top style="hair">
        <color rgb="FF808080"/>
      </top>
      <bottom style="hair">
        <color rgb="FF808080"/>
      </bottom>
      <diagonal/>
    </border>
    <border>
      <left style="dotted">
        <color rgb="FF808080"/>
      </left>
      <right/>
      <top style="hair">
        <color rgb="FF808080"/>
      </top>
      <bottom style="thin">
        <color rgb="FF808080"/>
      </bottom>
      <diagonal/>
    </border>
    <border>
      <left/>
      <right style="dotted">
        <color rgb="FF808080"/>
      </right>
      <top style="hair">
        <color rgb="FF808080"/>
      </top>
      <bottom style="thin">
        <color rgb="FF808080"/>
      </bottom>
      <diagonal/>
    </border>
    <border>
      <left/>
      <right/>
      <top style="hair">
        <color rgb="FF808080"/>
      </top>
      <bottom/>
      <diagonal/>
    </border>
    <border>
      <left style="dotted">
        <color rgb="FF808080"/>
      </left>
      <right/>
      <top style="hair">
        <color rgb="FF808080"/>
      </top>
      <bottom/>
      <diagonal/>
    </border>
    <border>
      <left/>
      <right style="dotted">
        <color rgb="FF808080"/>
      </right>
      <top style="hair">
        <color rgb="FF808080"/>
      </top>
      <bottom/>
      <diagonal/>
    </border>
    <border>
      <left/>
      <right style="dotted">
        <color rgb="FF808080"/>
      </right>
      <top/>
      <bottom style="hair">
        <color rgb="FF808080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/>
      <right/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thin">
        <color theme="1" tint="0.499984740745262"/>
      </top>
      <bottom/>
      <diagonal/>
    </border>
    <border>
      <left style="dotted">
        <color theme="0" tint="-0.499984740745262"/>
      </left>
      <right/>
      <top style="thin">
        <color theme="1" tint="0.499984740745262"/>
      </top>
      <bottom/>
      <diagonal/>
    </border>
    <border>
      <left/>
      <right style="dotted">
        <color theme="0" tint="-0.499984740745262"/>
      </right>
      <top/>
      <bottom style="thin">
        <color theme="1" tint="0.499984740745262"/>
      </bottom>
      <diagonal/>
    </border>
    <border>
      <left style="dotted">
        <color theme="0" tint="-0.499984740745262"/>
      </left>
      <right/>
      <top/>
      <bottom style="thin">
        <color theme="1" tint="0.499984740745262"/>
      </bottom>
      <diagonal/>
    </border>
    <border>
      <left style="dotted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hair">
        <color rgb="FF808080"/>
      </right>
      <top/>
      <bottom style="thin">
        <color rgb="FF808080"/>
      </bottom>
      <diagonal/>
    </border>
    <border>
      <left style="dotted">
        <color theme="1" tint="0.499984740745262"/>
      </left>
      <right/>
      <top/>
      <bottom style="medium">
        <color theme="0" tint="-0.499984740745262"/>
      </bottom>
      <diagonal/>
    </border>
    <border>
      <left/>
      <right style="dotted">
        <color theme="1" tint="0.499984740745262"/>
      </right>
      <top/>
      <bottom style="medium">
        <color theme="0" tint="-0.499984740745262"/>
      </bottom>
      <diagonal/>
    </border>
    <border>
      <left style="dotted">
        <color theme="1" tint="0.499984740745262"/>
      </left>
      <right/>
      <top/>
      <bottom style="thin">
        <color theme="0" tint="-0.499984740745262"/>
      </bottom>
      <diagonal/>
    </border>
    <border>
      <left/>
      <right style="dotted">
        <color theme="1" tint="0.499984740745262"/>
      </right>
      <top/>
      <bottom style="thin">
        <color theme="0" tint="-0.499984740745262"/>
      </bottom>
      <diagonal/>
    </border>
    <border>
      <left/>
      <right style="dotted">
        <color theme="1" tint="0.499984740745262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dotted">
        <color theme="1" tint="0.499984740745262"/>
      </left>
      <right/>
      <top style="thin">
        <color rgb="FF808080"/>
      </top>
      <bottom/>
      <diagonal/>
    </border>
    <border>
      <left/>
      <right style="dotted">
        <color theme="0" tint="-0.499984740745262"/>
      </right>
      <top/>
      <bottom style="thin">
        <color rgb="FF808080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dotted">
        <color theme="0" tint="-0.499984740745262"/>
      </left>
      <right/>
      <top/>
      <bottom style="thin">
        <color rgb="FF808080"/>
      </bottom>
      <diagonal/>
    </border>
    <border>
      <left style="dotted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/>
      <diagonal/>
    </border>
    <border>
      <left style="dotted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 style="thin">
        <color rgb="FF808080"/>
      </top>
      <bottom style="hair">
        <color rgb="FF808080"/>
      </bottom>
      <diagonal/>
    </border>
    <border>
      <left/>
      <right style="dotted">
        <color rgb="FF808080"/>
      </right>
      <top style="thin">
        <color rgb="FF808080"/>
      </top>
      <bottom style="hair">
        <color rgb="FF808080"/>
      </bottom>
      <diagonal/>
    </border>
    <border>
      <left/>
      <right style="dotted">
        <color rgb="FF808080"/>
      </right>
      <top style="thin">
        <color rgb="FF808080"/>
      </top>
      <bottom style="medium">
        <color theme="0" tint="-0.499984740745262"/>
      </bottom>
      <diagonal/>
    </border>
    <border>
      <left/>
      <right style="dotted">
        <color rgb="FF808080"/>
      </right>
      <top/>
      <bottom style="hair">
        <color theme="0" tint="-0.499984740745262"/>
      </bottom>
      <diagonal/>
    </border>
    <border>
      <left/>
      <right style="dotted">
        <color rgb="FF808080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rgb="FF808080"/>
      </right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 style="dotted">
        <color rgb="FF808080"/>
      </right>
      <top/>
      <bottom style="medium">
        <color rgb="FF808080"/>
      </bottom>
      <diagonal/>
    </border>
    <border>
      <left style="dotted">
        <color rgb="FF808080"/>
      </left>
      <right style="dotted">
        <color rgb="FF808080"/>
      </right>
      <top/>
      <bottom/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23" fillId="0" borderId="0"/>
    <xf numFmtId="0" fontId="1" fillId="0" borderId="0" applyNumberForma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6" fillId="0" borderId="0"/>
    <xf numFmtId="0" fontId="30" fillId="0" borderId="0"/>
    <xf numFmtId="0" fontId="23" fillId="0" borderId="0"/>
    <xf numFmtId="0" fontId="8" fillId="0" borderId="0"/>
    <xf numFmtId="0" fontId="34" fillId="0" borderId="0"/>
    <xf numFmtId="0" fontId="35" fillId="0" borderId="0"/>
    <xf numFmtId="0" fontId="6" fillId="0" borderId="0"/>
    <xf numFmtId="9" fontId="6" fillId="0" borderId="0" applyFont="0" applyFill="0" applyBorder="0" applyAlignment="0" applyProtection="0"/>
    <xf numFmtId="0" fontId="34" fillId="0" borderId="0"/>
    <xf numFmtId="0" fontId="42" fillId="0" borderId="0"/>
    <xf numFmtId="0" fontId="8" fillId="0" borderId="0"/>
    <xf numFmtId="0" fontId="43" fillId="0" borderId="0" applyBorder="0"/>
    <xf numFmtId="0" fontId="44" fillId="0" borderId="0"/>
    <xf numFmtId="0" fontId="44" fillId="0" borderId="0"/>
    <xf numFmtId="0" fontId="35" fillId="0" borderId="0"/>
    <xf numFmtId="0" fontId="45" fillId="0" borderId="0"/>
    <xf numFmtId="0" fontId="6" fillId="0" borderId="0"/>
    <xf numFmtId="0" fontId="23" fillId="0" borderId="0"/>
    <xf numFmtId="0" fontId="6" fillId="0" borderId="0"/>
    <xf numFmtId="9" fontId="6" fillId="0" borderId="0" applyFont="0" applyFill="0" applyBorder="0" applyAlignment="0" applyProtection="0"/>
    <xf numFmtId="0" fontId="79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78" fillId="10" borderId="0"/>
    <xf numFmtId="0" fontId="6" fillId="0" borderId="0"/>
    <xf numFmtId="0" fontId="35" fillId="0" borderId="0">
      <alignment vertical="center"/>
    </xf>
    <xf numFmtId="0" fontId="35" fillId="0" borderId="0">
      <alignment vertical="center"/>
    </xf>
  </cellStyleXfs>
  <cellXfs count="844">
    <xf numFmtId="0" fontId="0" fillId="0" borderId="0" xfId="0"/>
    <xf numFmtId="0" fontId="1" fillId="0" borderId="0" xfId="1" applyAlignment="1">
      <alignment vertical="center"/>
    </xf>
    <xf numFmtId="0" fontId="4" fillId="0" borderId="0" xfId="0" applyFont="1"/>
    <xf numFmtId="0" fontId="2" fillId="0" borderId="0" xfId="0" applyFont="1"/>
    <xf numFmtId="0" fontId="7" fillId="0" borderId="0" xfId="0" applyFont="1"/>
    <xf numFmtId="0" fontId="10" fillId="5" borderId="0" xfId="0" applyFont="1" applyFill="1" applyAlignment="1">
      <alignment vertical="center" wrapText="1"/>
    </xf>
    <xf numFmtId="164" fontId="9" fillId="5" borderId="0" xfId="0" applyNumberFormat="1" applyFont="1" applyFill="1" applyAlignment="1">
      <alignment horizontal="right" vertical="center" wrapText="1"/>
    </xf>
    <xf numFmtId="0" fontId="19" fillId="0" borderId="0" xfId="0" applyFont="1"/>
    <xf numFmtId="0" fontId="20" fillId="0" borderId="0" xfId="0" applyFont="1"/>
    <xf numFmtId="49" fontId="9" fillId="5" borderId="0" xfId="0" applyNumberFormat="1" applyFont="1" applyFill="1" applyAlignment="1">
      <alignment vertical="center" wrapText="1"/>
    </xf>
    <xf numFmtId="0" fontId="12" fillId="0" borderId="0" xfId="0" applyFont="1"/>
    <xf numFmtId="0" fontId="24" fillId="0" borderId="0" xfId="7" applyFont="1" applyAlignment="1">
      <alignment horizontal="center"/>
    </xf>
    <xf numFmtId="0" fontId="25" fillId="0" borderId="0" xfId="7" applyFont="1" applyAlignment="1">
      <alignment horizontal="left" wrapText="1"/>
    </xf>
    <xf numFmtId="0" fontId="26" fillId="0" borderId="0" xfId="7" applyFont="1" applyAlignment="1">
      <alignment horizontal="right" vertical="center"/>
    </xf>
    <xf numFmtId="22" fontId="23" fillId="0" borderId="0" xfId="7" applyNumberFormat="1"/>
    <xf numFmtId="0" fontId="12" fillId="5" borderId="0" xfId="0" applyFont="1" applyFill="1"/>
    <xf numFmtId="0" fontId="16" fillId="0" borderId="0" xfId="0" applyFont="1"/>
    <xf numFmtId="0" fontId="5" fillId="0" borderId="0" xfId="0" applyFont="1" applyAlignment="1">
      <alignment vertical="center" wrapText="1"/>
    </xf>
    <xf numFmtId="0" fontId="29" fillId="0" borderId="0" xfId="0" applyFont="1"/>
    <xf numFmtId="3" fontId="9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9" fontId="0" fillId="0" borderId="0" xfId="0" applyNumberFormat="1"/>
    <xf numFmtId="0" fontId="26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3" fillId="0" borderId="0" xfId="7"/>
    <xf numFmtId="14" fontId="23" fillId="0" borderId="0" xfId="7" applyNumberFormat="1"/>
    <xf numFmtId="0" fontId="38" fillId="0" borderId="0" xfId="1" applyFont="1" applyAlignment="1">
      <alignment vertical="center"/>
    </xf>
    <xf numFmtId="14" fontId="36" fillId="0" borderId="0" xfId="7" applyNumberFormat="1" applyFont="1"/>
    <xf numFmtId="14" fontId="40" fillId="0" borderId="0" xfId="7" applyNumberFormat="1" applyFont="1"/>
    <xf numFmtId="0" fontId="0" fillId="0" borderId="0" xfId="0" applyAlignment="1">
      <alignment wrapText="1"/>
    </xf>
    <xf numFmtId="0" fontId="23" fillId="0" borderId="0" xfId="7" applyAlignment="1">
      <alignment horizontal="right" vertical="center"/>
    </xf>
    <xf numFmtId="0" fontId="37" fillId="0" borderId="0" xfId="0" applyFont="1"/>
    <xf numFmtId="0" fontId="26" fillId="0" borderId="7" xfId="0" applyFont="1" applyBorder="1" applyAlignment="1">
      <alignment vertical="center"/>
    </xf>
    <xf numFmtId="0" fontId="36" fillId="0" borderId="0" xfId="7" applyFont="1"/>
    <xf numFmtId="0" fontId="23" fillId="0" borderId="0" xfId="7" applyAlignment="1">
      <alignment horizontal="center" vertical="center"/>
    </xf>
    <xf numFmtId="3" fontId="23" fillId="0" borderId="0" xfId="7" applyNumberFormat="1"/>
    <xf numFmtId="0" fontId="27" fillId="0" borderId="6" xfId="7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8" fillId="0" borderId="9" xfId="0" applyFont="1" applyBorder="1" applyAlignment="1">
      <alignment horizontal="center" vertical="center" wrapText="1"/>
    </xf>
    <xf numFmtId="0" fontId="1" fillId="0" borderId="0" xfId="1" applyFill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46" fillId="7" borderId="0" xfId="0" applyFont="1" applyFill="1" applyAlignment="1">
      <alignment vertical="center"/>
    </xf>
    <xf numFmtId="0" fontId="31" fillId="7" borderId="0" xfId="0" applyFont="1" applyFill="1"/>
    <xf numFmtId="3" fontId="9" fillId="5" borderId="0" xfId="0" applyNumberFormat="1" applyFont="1" applyFill="1" applyAlignment="1">
      <alignment horizontal="right" vertical="center" wrapText="1" indent="1"/>
    </xf>
    <xf numFmtId="0" fontId="46" fillId="7" borderId="0" xfId="0" applyFont="1" applyFill="1" applyAlignment="1">
      <alignment horizontal="right" vertical="center"/>
    </xf>
    <xf numFmtId="0" fontId="48" fillId="0" borderId="0" xfId="0" applyFont="1" applyAlignment="1">
      <alignment horizontal="left" vertical="center" inden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vertical="center" wrapText="1"/>
    </xf>
    <xf numFmtId="164" fontId="12" fillId="5" borderId="20" xfId="0" applyNumberFormat="1" applyFont="1" applyFill="1" applyBorder="1" applyAlignment="1">
      <alignment horizontal="right" vertical="center" wrapText="1" indent="1"/>
    </xf>
    <xf numFmtId="164" fontId="12" fillId="5" borderId="0" xfId="0" applyNumberFormat="1" applyFont="1" applyFill="1" applyAlignment="1">
      <alignment horizontal="right" vertical="center" wrapText="1" indent="1"/>
    </xf>
    <xf numFmtId="0" fontId="12" fillId="5" borderId="12" xfId="0" applyFont="1" applyFill="1" applyBorder="1" applyAlignment="1">
      <alignment horizontal="right" vertical="center" wrapText="1" indent="1"/>
    </xf>
    <xf numFmtId="0" fontId="12" fillId="5" borderId="0" xfId="0" applyFont="1" applyFill="1" applyAlignment="1">
      <alignment horizontal="right" vertical="center" wrapText="1" indent="1"/>
    </xf>
    <xf numFmtId="0" fontId="9" fillId="5" borderId="16" xfId="0" applyFont="1" applyFill="1" applyBorder="1" applyAlignment="1">
      <alignment vertical="center" wrapText="1"/>
    </xf>
    <xf numFmtId="164" fontId="12" fillId="5" borderId="33" xfId="0" applyNumberFormat="1" applyFont="1" applyFill="1" applyBorder="1" applyAlignment="1">
      <alignment horizontal="right" vertical="center" wrapText="1" indent="1"/>
    </xf>
    <xf numFmtId="164" fontId="12" fillId="5" borderId="16" xfId="0" applyNumberFormat="1" applyFont="1" applyFill="1" applyBorder="1" applyAlignment="1">
      <alignment horizontal="right" vertical="center" wrapText="1" indent="1"/>
    </xf>
    <xf numFmtId="0" fontId="12" fillId="5" borderId="15" xfId="0" applyFont="1" applyFill="1" applyBorder="1" applyAlignment="1">
      <alignment horizontal="right" vertical="center" wrapText="1" indent="1"/>
    </xf>
    <xf numFmtId="0" fontId="12" fillId="5" borderId="16" xfId="0" applyFont="1" applyFill="1" applyBorder="1" applyAlignment="1">
      <alignment horizontal="right" vertical="center" wrapText="1" indent="1"/>
    </xf>
    <xf numFmtId="0" fontId="10" fillId="5" borderId="11" xfId="0" applyFont="1" applyFill="1" applyBorder="1" applyAlignment="1">
      <alignment horizontal="center" vertical="center" wrapText="1"/>
    </xf>
    <xf numFmtId="0" fontId="29" fillId="8" borderId="0" xfId="0" applyFont="1" applyFill="1" applyAlignment="1">
      <alignment vertical="center"/>
    </xf>
    <xf numFmtId="0" fontId="49" fillId="7" borderId="0" xfId="0" applyFont="1" applyFill="1" applyAlignment="1">
      <alignment horizontal="right" vertical="center" wrapText="1"/>
    </xf>
    <xf numFmtId="0" fontId="50" fillId="5" borderId="0" xfId="0" applyFont="1" applyFill="1" applyAlignment="1">
      <alignment horizontal="center" vertical="center" wrapText="1"/>
    </xf>
    <xf numFmtId="3" fontId="9" fillId="5" borderId="34" xfId="0" applyNumberFormat="1" applyFont="1" applyFill="1" applyBorder="1" applyAlignment="1">
      <alignment horizontal="right" vertical="center" wrapText="1" indent="1"/>
    </xf>
    <xf numFmtId="164" fontId="9" fillId="5" borderId="34" xfId="0" applyNumberFormat="1" applyFont="1" applyFill="1" applyBorder="1" applyAlignment="1">
      <alignment horizontal="right" vertical="center" wrapText="1" indent="1"/>
    </xf>
    <xf numFmtId="164" fontId="9" fillId="5" borderId="0" xfId="0" applyNumberFormat="1" applyFont="1" applyFill="1" applyAlignment="1">
      <alignment horizontal="right" vertical="center" wrapText="1" indent="1"/>
    </xf>
    <xf numFmtId="3" fontId="9" fillId="5" borderId="35" xfId="0" applyNumberFormat="1" applyFont="1" applyFill="1" applyBorder="1" applyAlignment="1">
      <alignment horizontal="right" vertical="center" wrapText="1" indent="1"/>
    </xf>
    <xf numFmtId="164" fontId="9" fillId="5" borderId="35" xfId="0" applyNumberFormat="1" applyFont="1" applyFill="1" applyBorder="1" applyAlignment="1">
      <alignment horizontal="right" vertical="center" wrapText="1" indent="1"/>
    </xf>
    <xf numFmtId="0" fontId="10" fillId="5" borderId="36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164" fontId="9" fillId="5" borderId="40" xfId="0" applyNumberFormat="1" applyFont="1" applyFill="1" applyBorder="1" applyAlignment="1">
      <alignment horizontal="right" vertical="center" wrapText="1"/>
    </xf>
    <xf numFmtId="0" fontId="10" fillId="5" borderId="45" xfId="0" applyFont="1" applyFill="1" applyBorder="1" applyAlignment="1">
      <alignment vertical="center" wrapText="1"/>
    </xf>
    <xf numFmtId="0" fontId="51" fillId="7" borderId="0" xfId="0" applyFont="1" applyFill="1" applyAlignment="1">
      <alignment vertical="center"/>
    </xf>
    <xf numFmtId="0" fontId="50" fillId="5" borderId="49" xfId="0" applyFont="1" applyFill="1" applyBorder="1" applyAlignment="1">
      <alignment horizontal="center" vertical="center" wrapText="1"/>
    </xf>
    <xf numFmtId="0" fontId="53" fillId="7" borderId="0" xfId="0" applyFont="1" applyFill="1" applyAlignment="1">
      <alignment horizontal="left"/>
    </xf>
    <xf numFmtId="0" fontId="14" fillId="5" borderId="1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vertical="center" wrapText="1"/>
    </xf>
    <xf numFmtId="164" fontId="10" fillId="5" borderId="22" xfId="0" applyNumberFormat="1" applyFont="1" applyFill="1" applyBorder="1" applyAlignment="1">
      <alignment horizontal="right" vertical="center" wrapText="1" indent="1"/>
    </xf>
    <xf numFmtId="3" fontId="10" fillId="5" borderId="21" xfId="0" applyNumberFormat="1" applyFont="1" applyFill="1" applyBorder="1" applyAlignment="1">
      <alignment horizontal="right" vertical="center" wrapText="1" indent="1"/>
    </xf>
    <xf numFmtId="0" fontId="51" fillId="8" borderId="0" xfId="0" applyFont="1" applyFill="1" applyAlignment="1">
      <alignment vertical="center"/>
    </xf>
    <xf numFmtId="0" fontId="54" fillId="8" borderId="0" xfId="0" applyFont="1" applyFill="1" applyAlignment="1">
      <alignment vertical="center" wrapText="1"/>
    </xf>
    <xf numFmtId="0" fontId="9" fillId="5" borderId="61" xfId="0" applyFont="1" applyFill="1" applyBorder="1" applyAlignment="1">
      <alignment horizontal="center" vertical="center" wrapText="1"/>
    </xf>
    <xf numFmtId="164" fontId="10" fillId="5" borderId="46" xfId="0" applyNumberFormat="1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0" fontId="53" fillId="7" borderId="0" xfId="0" applyFont="1" applyFill="1"/>
    <xf numFmtId="0" fontId="9" fillId="5" borderId="0" xfId="0" applyFont="1" applyFill="1" applyAlignment="1">
      <alignment horizontal="left" vertical="center" wrapText="1" indent="1"/>
    </xf>
    <xf numFmtId="165" fontId="9" fillId="3" borderId="12" xfId="0" applyNumberFormat="1" applyFont="1" applyFill="1" applyBorder="1" applyAlignment="1">
      <alignment horizontal="right" vertical="center" wrapText="1" indent="1"/>
    </xf>
    <xf numFmtId="0" fontId="10" fillId="5" borderId="11" xfId="0" applyFont="1" applyFill="1" applyBorder="1" applyAlignment="1">
      <alignment vertical="center" wrapText="1"/>
    </xf>
    <xf numFmtId="164" fontId="10" fillId="5" borderId="19" xfId="0" applyNumberFormat="1" applyFont="1" applyFill="1" applyBorder="1" applyAlignment="1">
      <alignment horizontal="right" vertical="center" wrapText="1" indent="1"/>
    </xf>
    <xf numFmtId="165" fontId="10" fillId="3" borderId="10" xfId="0" applyNumberFormat="1" applyFont="1" applyFill="1" applyBorder="1" applyAlignment="1">
      <alignment horizontal="right" vertical="center" wrapText="1" indent="1"/>
    </xf>
    <xf numFmtId="164" fontId="10" fillId="5" borderId="20" xfId="0" applyNumberFormat="1" applyFont="1" applyFill="1" applyBorder="1" applyAlignment="1">
      <alignment horizontal="right" vertical="center" wrapText="1" indent="1"/>
    </xf>
    <xf numFmtId="3" fontId="10" fillId="5" borderId="0" xfId="0" applyNumberFormat="1" applyFont="1" applyFill="1" applyAlignment="1">
      <alignment horizontal="right" vertical="center" wrapText="1" indent="1"/>
    </xf>
    <xf numFmtId="1" fontId="10" fillId="3" borderId="23" xfId="0" applyNumberFormat="1" applyFont="1" applyFill="1" applyBorder="1" applyAlignment="1">
      <alignment horizontal="right" vertical="center" wrapText="1" indent="1"/>
    </xf>
    <xf numFmtId="1" fontId="10" fillId="5" borderId="21" xfId="0" applyNumberFormat="1" applyFont="1" applyFill="1" applyBorder="1" applyAlignment="1">
      <alignment horizontal="right" vertical="center" wrapText="1" indent="1"/>
    </xf>
    <xf numFmtId="0" fontId="5" fillId="0" borderId="0" xfId="0" applyFont="1" applyAlignment="1">
      <alignment horizontal="right" vertical="center" wrapText="1"/>
    </xf>
    <xf numFmtId="0" fontId="10" fillId="5" borderId="24" xfId="0" applyFont="1" applyFill="1" applyBorder="1" applyAlignment="1">
      <alignment horizontal="center" vertical="center" wrapText="1"/>
    </xf>
    <xf numFmtId="49" fontId="10" fillId="5" borderId="26" xfId="0" applyNumberFormat="1" applyFont="1" applyFill="1" applyBorder="1" applyAlignment="1">
      <alignment horizontal="right" vertical="center" wrapText="1" indent="1"/>
    </xf>
    <xf numFmtId="49" fontId="10" fillId="5" borderId="24" xfId="0" applyNumberFormat="1" applyFont="1" applyFill="1" applyBorder="1" applyAlignment="1">
      <alignment horizontal="right" vertical="center" wrapText="1" indent="1"/>
    </xf>
    <xf numFmtId="164" fontId="9" fillId="5" borderId="20" xfId="0" applyNumberFormat="1" applyFont="1" applyFill="1" applyBorder="1" applyAlignment="1">
      <alignment horizontal="right" vertical="center" wrapText="1" indent="1"/>
    </xf>
    <xf numFmtId="3" fontId="9" fillId="5" borderId="20" xfId="0" applyNumberFormat="1" applyFont="1" applyFill="1" applyBorder="1" applyAlignment="1">
      <alignment horizontal="right" vertical="center" wrapText="1" indent="1"/>
    </xf>
    <xf numFmtId="0" fontId="10" fillId="5" borderId="14" xfId="0" applyFont="1" applyFill="1" applyBorder="1" applyAlignment="1">
      <alignment vertical="center" wrapText="1"/>
    </xf>
    <xf numFmtId="165" fontId="10" fillId="5" borderId="63" xfId="2" applyNumberFormat="1" applyFont="1" applyFill="1" applyBorder="1" applyAlignment="1">
      <alignment horizontal="right" vertical="center" wrapText="1" indent="1"/>
    </xf>
    <xf numFmtId="3" fontId="10" fillId="5" borderId="63" xfId="0" applyNumberFormat="1" applyFont="1" applyFill="1" applyBorder="1" applyAlignment="1">
      <alignment horizontal="right" vertical="center" wrapText="1" indent="1"/>
    </xf>
    <xf numFmtId="165" fontId="10" fillId="5" borderId="22" xfId="2" applyNumberFormat="1" applyFont="1" applyFill="1" applyBorder="1" applyAlignment="1">
      <alignment horizontal="right" vertical="center" wrapText="1" indent="1"/>
    </xf>
    <xf numFmtId="1" fontId="10" fillId="5" borderId="22" xfId="0" applyNumberFormat="1" applyFont="1" applyFill="1" applyBorder="1" applyAlignment="1">
      <alignment horizontal="right" vertical="center" wrapText="1" indent="1"/>
    </xf>
    <xf numFmtId="0" fontId="55" fillId="5" borderId="37" xfId="0" applyFont="1" applyFill="1" applyBorder="1" applyAlignment="1">
      <alignment horizontal="center" vertical="center" wrapText="1"/>
    </xf>
    <xf numFmtId="0" fontId="55" fillId="5" borderId="36" xfId="0" applyFont="1" applyFill="1" applyBorder="1" applyAlignment="1">
      <alignment horizontal="center" vertical="center" wrapText="1"/>
    </xf>
    <xf numFmtId="0" fontId="55" fillId="5" borderId="38" xfId="0" applyFont="1" applyFill="1" applyBorder="1" applyAlignment="1">
      <alignment horizontal="center" vertical="center" wrapText="1"/>
    </xf>
    <xf numFmtId="164" fontId="9" fillId="5" borderId="40" xfId="0" applyNumberFormat="1" applyFont="1" applyFill="1" applyBorder="1" applyAlignment="1">
      <alignment horizontal="right" vertical="center" wrapText="1" indent="1"/>
    </xf>
    <xf numFmtId="164" fontId="10" fillId="5" borderId="0" xfId="0" applyNumberFormat="1" applyFont="1" applyFill="1" applyAlignment="1">
      <alignment horizontal="right" vertical="center" wrapText="1" indent="1"/>
    </xf>
    <xf numFmtId="49" fontId="10" fillId="5" borderId="49" xfId="0" applyNumberFormat="1" applyFont="1" applyFill="1" applyBorder="1" applyAlignment="1">
      <alignment horizontal="center" vertical="center" wrapText="1"/>
    </xf>
    <xf numFmtId="0" fontId="37" fillId="0" borderId="0" xfId="7" applyFont="1"/>
    <xf numFmtId="0" fontId="39" fillId="0" borderId="0" xfId="7" applyFont="1"/>
    <xf numFmtId="0" fontId="46" fillId="7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9" fillId="0" borderId="0" xfId="0" applyFont="1"/>
    <xf numFmtId="0" fontId="52" fillId="8" borderId="0" xfId="0" applyFont="1" applyFill="1" applyAlignment="1">
      <alignment vertical="center" wrapText="1"/>
    </xf>
    <xf numFmtId="49" fontId="14" fillId="5" borderId="72" xfId="0" applyNumberFormat="1" applyFont="1" applyFill="1" applyBorder="1" applyAlignment="1">
      <alignment horizontal="center" vertical="center" wrapText="1"/>
    </xf>
    <xf numFmtId="49" fontId="14" fillId="5" borderId="73" xfId="0" applyNumberFormat="1" applyFont="1" applyFill="1" applyBorder="1" applyAlignment="1">
      <alignment horizontal="center" vertical="center" wrapText="1"/>
    </xf>
    <xf numFmtId="49" fontId="17" fillId="5" borderId="71" xfId="0" applyNumberFormat="1" applyFont="1" applyFill="1" applyBorder="1" applyAlignment="1">
      <alignment horizontal="center" vertical="center" wrapText="1"/>
    </xf>
    <xf numFmtId="49" fontId="17" fillId="5" borderId="72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5" fillId="5" borderId="0" xfId="0" applyFont="1" applyFill="1" applyAlignment="1">
      <alignment vertical="center" wrapText="1"/>
    </xf>
    <xf numFmtId="0" fontId="60" fillId="5" borderId="0" xfId="0" applyFont="1" applyFill="1" applyAlignment="1">
      <alignment vertical="center" wrapText="1"/>
    </xf>
    <xf numFmtId="0" fontId="55" fillId="5" borderId="27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5" fillId="5" borderId="5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vertical="center" wrapText="1"/>
    </xf>
    <xf numFmtId="164" fontId="9" fillId="5" borderId="20" xfId="0" applyNumberFormat="1" applyFont="1" applyFill="1" applyBorder="1" applyAlignment="1">
      <alignment horizontal="right" vertical="center" wrapText="1"/>
    </xf>
    <xf numFmtId="164" fontId="9" fillId="5" borderId="12" xfId="0" applyNumberFormat="1" applyFont="1" applyFill="1" applyBorder="1" applyAlignment="1">
      <alignment horizontal="right" vertical="center" wrapText="1"/>
    </xf>
    <xf numFmtId="164" fontId="9" fillId="5" borderId="20" xfId="0" applyNumberFormat="1" applyFont="1" applyFill="1" applyBorder="1" applyAlignment="1">
      <alignment horizontal="right" vertical="top" wrapText="1"/>
    </xf>
    <xf numFmtId="164" fontId="9" fillId="5" borderId="12" xfId="0" applyNumberFormat="1" applyFont="1" applyFill="1" applyBorder="1" applyAlignment="1">
      <alignment horizontal="right" vertical="top" wrapText="1"/>
    </xf>
    <xf numFmtId="0" fontId="10" fillId="5" borderId="23" xfId="0" applyFont="1" applyFill="1" applyBorder="1" applyAlignment="1">
      <alignment vertical="center" wrapText="1"/>
    </xf>
    <xf numFmtId="164" fontId="10" fillId="5" borderId="22" xfId="2" applyNumberFormat="1" applyFont="1" applyFill="1" applyBorder="1" applyAlignment="1">
      <alignment vertical="center" wrapText="1"/>
    </xf>
    <xf numFmtId="164" fontId="10" fillId="5" borderId="23" xfId="2" applyNumberFormat="1" applyFont="1" applyFill="1" applyBorder="1" applyAlignment="1">
      <alignment vertical="center" wrapText="1"/>
    </xf>
    <xf numFmtId="3" fontId="9" fillId="0" borderId="0" xfId="2" applyNumberFormat="1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top" wrapText="1"/>
    </xf>
    <xf numFmtId="3" fontId="10" fillId="0" borderId="0" xfId="2" applyNumberFormat="1" applyFont="1" applyFill="1" applyBorder="1" applyAlignment="1">
      <alignment vertical="center" wrapText="1"/>
    </xf>
    <xf numFmtId="3" fontId="10" fillId="0" borderId="0" xfId="2" applyNumberFormat="1" applyFont="1" applyFill="1" applyBorder="1" applyAlignment="1">
      <alignment horizontal="right" vertical="center" wrapText="1"/>
    </xf>
    <xf numFmtId="1" fontId="10" fillId="0" borderId="0" xfId="0" applyNumberFormat="1" applyFont="1" applyAlignment="1">
      <alignment horizontal="right" vertical="center" wrapText="1"/>
    </xf>
    <xf numFmtId="0" fontId="3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3" fontId="5" fillId="5" borderId="0" xfId="0" applyNumberFormat="1" applyFont="1" applyFill="1" applyAlignment="1">
      <alignment horizontal="right" vertical="center" wrapText="1" indent="1"/>
    </xf>
    <xf numFmtId="0" fontId="5" fillId="5" borderId="11" xfId="0" applyFont="1" applyFill="1" applyBorder="1" applyAlignment="1">
      <alignment horizontal="center" vertical="center" wrapText="1"/>
    </xf>
    <xf numFmtId="164" fontId="5" fillId="5" borderId="20" xfId="0" applyNumberFormat="1" applyFont="1" applyFill="1" applyBorder="1" applyAlignment="1">
      <alignment horizontal="right" vertical="center" wrapText="1" indent="1"/>
    </xf>
    <xf numFmtId="0" fontId="46" fillId="7" borderId="36" xfId="7" applyFont="1" applyFill="1" applyBorder="1" applyAlignment="1">
      <alignment vertical="center"/>
    </xf>
    <xf numFmtId="0" fontId="65" fillId="0" borderId="0" xfId="7" applyFont="1"/>
    <xf numFmtId="0" fontId="46" fillId="7" borderId="0" xfId="7" applyFont="1" applyFill="1" applyAlignment="1">
      <alignment vertical="center"/>
    </xf>
    <xf numFmtId="49" fontId="10" fillId="5" borderId="19" xfId="0" applyNumberFormat="1" applyFont="1" applyFill="1" applyBorder="1" applyAlignment="1">
      <alignment horizontal="right" vertical="center" wrapText="1" indent="1"/>
    </xf>
    <xf numFmtId="49" fontId="10" fillId="5" borderId="11" xfId="0" applyNumberFormat="1" applyFont="1" applyFill="1" applyBorder="1" applyAlignment="1">
      <alignment horizontal="right" vertical="center" wrapText="1" indent="1"/>
    </xf>
    <xf numFmtId="165" fontId="9" fillId="5" borderId="20" xfId="0" applyNumberFormat="1" applyFont="1" applyFill="1" applyBorder="1" applyAlignment="1">
      <alignment horizontal="right" vertical="center" wrapText="1" indent="1"/>
    </xf>
    <xf numFmtId="165" fontId="9" fillId="5" borderId="0" xfId="0" applyNumberFormat="1" applyFont="1" applyFill="1" applyAlignment="1">
      <alignment horizontal="right" vertical="center" wrapText="1" indent="1"/>
    </xf>
    <xf numFmtId="165" fontId="9" fillId="5" borderId="33" xfId="0" applyNumberFormat="1" applyFont="1" applyFill="1" applyBorder="1" applyAlignment="1">
      <alignment horizontal="right" vertical="center" wrapText="1" indent="1"/>
    </xf>
    <xf numFmtId="165" fontId="9" fillId="5" borderId="16" xfId="0" applyNumberFormat="1" applyFont="1" applyFill="1" applyBorder="1" applyAlignment="1">
      <alignment horizontal="right" vertical="center" wrapText="1" indent="1"/>
    </xf>
    <xf numFmtId="0" fontId="21" fillId="5" borderId="11" xfId="0" applyFont="1" applyFill="1" applyBorder="1" applyAlignment="1">
      <alignment horizontal="center" vertical="center" wrapText="1"/>
    </xf>
    <xf numFmtId="0" fontId="22" fillId="5" borderId="0" xfId="3" applyFont="1" applyFill="1" applyAlignment="1">
      <alignment horizontal="left" vertical="center" wrapText="1"/>
    </xf>
    <xf numFmtId="0" fontId="2" fillId="5" borderId="0" xfId="3" applyFont="1" applyFill="1" applyAlignment="1">
      <alignment horizontal="left" vertical="center" wrapText="1" indent="1"/>
    </xf>
    <xf numFmtId="0" fontId="2" fillId="5" borderId="11" xfId="3" applyFont="1" applyFill="1" applyBorder="1" applyAlignment="1">
      <alignment horizontal="left" vertical="center" wrapText="1" indent="1"/>
    </xf>
    <xf numFmtId="0" fontId="22" fillId="5" borderId="0" xfId="3" applyFont="1" applyFill="1" applyAlignment="1">
      <alignment vertical="center" wrapText="1"/>
    </xf>
    <xf numFmtId="0" fontId="2" fillId="5" borderId="0" xfId="3" applyFont="1" applyFill="1" applyAlignment="1">
      <alignment horizontal="left" vertical="center" wrapText="1" indent="2"/>
    </xf>
    <xf numFmtId="0" fontId="22" fillId="5" borderId="21" xfId="3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46" fillId="7" borderId="0" xfId="0" applyFont="1" applyFill="1" applyAlignment="1">
      <alignment vertical="center" wrapText="1"/>
    </xf>
    <xf numFmtId="0" fontId="9" fillId="5" borderId="11" xfId="7" applyFont="1" applyFill="1" applyBorder="1" applyAlignment="1">
      <alignment horizontal="right" vertical="center" wrapText="1" indent="1"/>
    </xf>
    <xf numFmtId="0" fontId="9" fillId="5" borderId="10" xfId="7" applyFont="1" applyFill="1" applyBorder="1" applyAlignment="1">
      <alignment horizontal="right" vertical="center" wrapText="1" indent="1"/>
    </xf>
    <xf numFmtId="0" fontId="9" fillId="5" borderId="19" xfId="7" applyFont="1" applyFill="1" applyBorder="1" applyAlignment="1">
      <alignment horizontal="right" vertical="center" wrapText="1" indent="1"/>
    </xf>
    <xf numFmtId="0" fontId="7" fillId="0" borderId="0" xfId="7" applyFont="1"/>
    <xf numFmtId="0" fontId="55" fillId="5" borderId="0" xfId="7" applyFont="1" applyFill="1" applyAlignment="1">
      <alignment vertical="center" wrapText="1"/>
    </xf>
    <xf numFmtId="164" fontId="55" fillId="5" borderId="0" xfId="7" applyNumberFormat="1" applyFont="1" applyFill="1" applyAlignment="1">
      <alignment horizontal="right" vertical="center" wrapText="1" indent="1"/>
    </xf>
    <xf numFmtId="165" fontId="55" fillId="3" borderId="12" xfId="7" applyNumberFormat="1" applyFont="1" applyFill="1" applyBorder="1" applyAlignment="1">
      <alignment horizontal="right" vertical="center" wrapText="1" indent="1"/>
    </xf>
    <xf numFmtId="164" fontId="55" fillId="5" borderId="20" xfId="7" applyNumberFormat="1" applyFont="1" applyFill="1" applyBorder="1" applyAlignment="1">
      <alignment horizontal="right" vertical="center" wrapText="1" indent="1"/>
    </xf>
    <xf numFmtId="1" fontId="55" fillId="5" borderId="0" xfId="7" applyNumberFormat="1" applyFont="1" applyFill="1" applyAlignment="1">
      <alignment horizontal="right" vertical="center" wrapText="1" indent="1"/>
    </xf>
    <xf numFmtId="0" fontId="60" fillId="5" borderId="11" xfId="7" applyFont="1" applyFill="1" applyBorder="1" applyAlignment="1">
      <alignment horizontal="left" vertical="center" wrapText="1"/>
    </xf>
    <xf numFmtId="164" fontId="60" fillId="5" borderId="11" xfId="7" applyNumberFormat="1" applyFont="1" applyFill="1" applyBorder="1" applyAlignment="1">
      <alignment horizontal="right" vertical="center" wrapText="1" indent="1"/>
    </xf>
    <xf numFmtId="165" fontId="60" fillId="3" borderId="10" xfId="7" applyNumberFormat="1" applyFont="1" applyFill="1" applyBorder="1" applyAlignment="1">
      <alignment horizontal="right" vertical="center" wrapText="1" indent="1"/>
    </xf>
    <xf numFmtId="164" fontId="60" fillId="5" borderId="19" xfId="7" applyNumberFormat="1" applyFont="1" applyFill="1" applyBorder="1" applyAlignment="1">
      <alignment horizontal="right" vertical="center" wrapText="1" indent="1"/>
    </xf>
    <xf numFmtId="1" fontId="60" fillId="5" borderId="11" xfId="7" applyNumberFormat="1" applyFont="1" applyFill="1" applyBorder="1" applyAlignment="1">
      <alignment horizontal="right" vertical="center" wrapText="1" indent="1"/>
    </xf>
    <xf numFmtId="0" fontId="55" fillId="5" borderId="0" xfId="7" applyFont="1" applyFill="1" applyAlignment="1">
      <alignment horizontal="left" vertical="center" wrapText="1"/>
    </xf>
    <xf numFmtId="0" fontId="60" fillId="5" borderId="16" xfId="7" applyFont="1" applyFill="1" applyBorder="1" applyAlignment="1">
      <alignment horizontal="left" vertical="center" wrapText="1"/>
    </xf>
    <xf numFmtId="164" fontId="60" fillId="5" borderId="16" xfId="7" applyNumberFormat="1" applyFont="1" applyFill="1" applyBorder="1" applyAlignment="1">
      <alignment horizontal="right" vertical="center" wrapText="1" indent="1"/>
    </xf>
    <xf numFmtId="1" fontId="60" fillId="3" borderId="15" xfId="7" applyNumberFormat="1" applyFont="1" applyFill="1" applyBorder="1" applyAlignment="1">
      <alignment horizontal="right" vertical="center" wrapText="1" indent="1"/>
    </xf>
    <xf numFmtId="164" fontId="60" fillId="5" borderId="33" xfId="7" applyNumberFormat="1" applyFont="1" applyFill="1" applyBorder="1" applyAlignment="1">
      <alignment horizontal="right" vertical="center" wrapText="1" indent="1"/>
    </xf>
    <xf numFmtId="1" fontId="60" fillId="5" borderId="16" xfId="7" applyNumberFormat="1" applyFont="1" applyFill="1" applyBorder="1" applyAlignment="1">
      <alignment horizontal="right" vertical="center" wrapText="1" indent="1"/>
    </xf>
    <xf numFmtId="0" fontId="70" fillId="0" borderId="0" xfId="7" applyFont="1"/>
    <xf numFmtId="0" fontId="71" fillId="0" borderId="0" xfId="7" applyFont="1"/>
    <xf numFmtId="0" fontId="5" fillId="5" borderId="0" xfId="3" applyFont="1" applyFill="1" applyAlignment="1">
      <alignment horizontal="left" vertical="center" wrapText="1"/>
    </xf>
    <xf numFmtId="0" fontId="21" fillId="5" borderId="21" xfId="3" applyFont="1" applyFill="1" applyBorder="1" applyAlignment="1">
      <alignment horizontal="left" vertical="center" wrapText="1"/>
    </xf>
    <xf numFmtId="0" fontId="21" fillId="5" borderId="0" xfId="3" applyFont="1" applyFill="1" applyAlignment="1">
      <alignment vertical="center" wrapText="1"/>
    </xf>
    <xf numFmtId="0" fontId="5" fillId="5" borderId="0" xfId="3" applyFont="1" applyFill="1" applyAlignment="1">
      <alignment horizontal="left" vertical="center" wrapText="1" indent="1"/>
    </xf>
    <xf numFmtId="0" fontId="5" fillId="5" borderId="11" xfId="3" applyFont="1" applyFill="1" applyBorder="1" applyAlignment="1">
      <alignment horizontal="left" vertical="center" wrapText="1" indent="1"/>
    </xf>
    <xf numFmtId="0" fontId="5" fillId="5" borderId="16" xfId="3" applyFont="1" applyFill="1" applyBorder="1" applyAlignment="1">
      <alignment horizontal="left" vertical="center" wrapText="1" indent="1"/>
    </xf>
    <xf numFmtId="0" fontId="68" fillId="5" borderId="100" xfId="7" applyFont="1" applyFill="1" applyBorder="1"/>
    <xf numFmtId="0" fontId="0" fillId="0" borderId="100" xfId="0" applyBorder="1"/>
    <xf numFmtId="49" fontId="14" fillId="5" borderId="11" xfId="0" applyNumberFormat="1" applyFont="1" applyFill="1" applyBorder="1" applyAlignment="1">
      <alignment horizontal="center" vertical="center" wrapText="1"/>
    </xf>
    <xf numFmtId="49" fontId="10" fillId="5" borderId="0" xfId="0" applyNumberFormat="1" applyFont="1" applyFill="1" applyAlignment="1">
      <alignment vertical="top" wrapText="1"/>
    </xf>
    <xf numFmtId="0" fontId="10" fillId="5" borderId="0" xfId="0" applyFont="1" applyFill="1" applyAlignment="1">
      <alignment vertical="top" wrapText="1"/>
    </xf>
    <xf numFmtId="164" fontId="10" fillId="5" borderId="20" xfId="0" applyNumberFormat="1" applyFont="1" applyFill="1" applyBorder="1" applyAlignment="1">
      <alignment horizontal="right" vertical="top" wrapText="1" indent="1"/>
    </xf>
    <xf numFmtId="164" fontId="10" fillId="5" borderId="0" xfId="0" applyNumberFormat="1" applyFont="1" applyFill="1" applyAlignment="1">
      <alignment horizontal="right" vertical="top" wrapText="1" indent="1"/>
    </xf>
    <xf numFmtId="3" fontId="10" fillId="5" borderId="0" xfId="0" applyNumberFormat="1" applyFont="1" applyFill="1" applyAlignment="1">
      <alignment horizontal="right" vertical="top" wrapText="1" indent="1"/>
    </xf>
    <xf numFmtId="49" fontId="10" fillId="5" borderId="14" xfId="0" applyNumberFormat="1" applyFont="1" applyFill="1" applyBorder="1" applyAlignment="1">
      <alignment vertical="top" wrapText="1"/>
    </xf>
    <xf numFmtId="0" fontId="10" fillId="5" borderId="14" xfId="0" applyFont="1" applyFill="1" applyBorder="1" applyAlignment="1">
      <alignment vertical="top" wrapText="1"/>
    </xf>
    <xf numFmtId="164" fontId="10" fillId="5" borderId="63" xfId="0" applyNumberFormat="1" applyFont="1" applyFill="1" applyBorder="1" applyAlignment="1">
      <alignment horizontal="right" vertical="top" wrapText="1" indent="1"/>
    </xf>
    <xf numFmtId="164" fontId="10" fillId="5" borderId="14" xfId="0" applyNumberFormat="1" applyFont="1" applyFill="1" applyBorder="1" applyAlignment="1">
      <alignment horizontal="right" vertical="top" wrapText="1" indent="1"/>
    </xf>
    <xf numFmtId="3" fontId="10" fillId="5" borderId="14" xfId="0" applyNumberFormat="1" applyFont="1" applyFill="1" applyBorder="1" applyAlignment="1">
      <alignment horizontal="right" vertical="top" wrapText="1" indent="1"/>
    </xf>
    <xf numFmtId="49" fontId="9" fillId="5" borderId="0" xfId="0" applyNumberFormat="1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164" fontId="9" fillId="5" borderId="20" xfId="0" applyNumberFormat="1" applyFont="1" applyFill="1" applyBorder="1" applyAlignment="1">
      <alignment horizontal="right" vertical="top" wrapText="1" indent="1"/>
    </xf>
    <xf numFmtId="164" fontId="9" fillId="5" borderId="0" xfId="0" applyNumberFormat="1" applyFont="1" applyFill="1" applyAlignment="1">
      <alignment horizontal="right" vertical="top" wrapText="1" indent="1"/>
    </xf>
    <xf numFmtId="3" fontId="9" fillId="5" borderId="0" xfId="0" applyNumberFormat="1" applyFont="1" applyFill="1" applyAlignment="1">
      <alignment horizontal="right" vertical="top" wrapText="1" indent="1"/>
    </xf>
    <xf numFmtId="49" fontId="9" fillId="5" borderId="11" xfId="0" applyNumberFormat="1" applyFont="1" applyFill="1" applyBorder="1" applyAlignment="1">
      <alignment vertical="top" wrapText="1"/>
    </xf>
    <xf numFmtId="0" fontId="9" fillId="5" borderId="11" xfId="0" applyFont="1" applyFill="1" applyBorder="1" applyAlignment="1">
      <alignment vertical="top" wrapText="1"/>
    </xf>
    <xf numFmtId="164" fontId="9" fillId="5" borderId="19" xfId="0" applyNumberFormat="1" applyFont="1" applyFill="1" applyBorder="1" applyAlignment="1">
      <alignment horizontal="right" vertical="top" wrapText="1" indent="1"/>
    </xf>
    <xf numFmtId="164" fontId="9" fillId="5" borderId="11" xfId="0" applyNumberFormat="1" applyFont="1" applyFill="1" applyBorder="1" applyAlignment="1">
      <alignment horizontal="right" vertical="top" wrapText="1" indent="1"/>
    </xf>
    <xf numFmtId="49" fontId="9" fillId="5" borderId="16" xfId="0" applyNumberFormat="1" applyFont="1" applyFill="1" applyBorder="1" applyAlignment="1">
      <alignment vertical="top" wrapText="1"/>
    </xf>
    <xf numFmtId="0" fontId="9" fillId="5" borderId="16" xfId="0" applyFont="1" applyFill="1" applyBorder="1" applyAlignment="1">
      <alignment vertical="top" wrapText="1"/>
    </xf>
    <xf numFmtId="164" fontId="9" fillId="5" borderId="33" xfId="0" applyNumberFormat="1" applyFont="1" applyFill="1" applyBorder="1" applyAlignment="1">
      <alignment horizontal="right" vertical="top" wrapText="1" indent="1"/>
    </xf>
    <xf numFmtId="164" fontId="9" fillId="5" borderId="16" xfId="0" applyNumberFormat="1" applyFont="1" applyFill="1" applyBorder="1" applyAlignment="1">
      <alignment horizontal="right" vertical="top" wrapText="1" indent="1"/>
    </xf>
    <xf numFmtId="3" fontId="9" fillId="5" borderId="16" xfId="0" applyNumberFormat="1" applyFont="1" applyFill="1" applyBorder="1" applyAlignment="1">
      <alignment horizontal="right" vertical="top" wrapText="1" indent="1"/>
    </xf>
    <xf numFmtId="0" fontId="15" fillId="0" borderId="0" xfId="0" applyFont="1"/>
    <xf numFmtId="49" fontId="21" fillId="5" borderId="19" xfId="0" applyNumberFormat="1" applyFont="1" applyFill="1" applyBorder="1" applyAlignment="1">
      <alignment horizontal="center" vertical="center" wrapText="1"/>
    </xf>
    <xf numFmtId="49" fontId="21" fillId="5" borderId="11" xfId="0" applyNumberFormat="1" applyFont="1" applyFill="1" applyBorder="1" applyAlignment="1">
      <alignment horizontal="center" vertical="center" wrapText="1"/>
    </xf>
    <xf numFmtId="0" fontId="21" fillId="5" borderId="0" xfId="0" applyFont="1" applyFill="1" applyAlignment="1">
      <alignment vertical="center" wrapText="1"/>
    </xf>
    <xf numFmtId="164" fontId="21" fillId="5" borderId="20" xfId="0" applyNumberFormat="1" applyFont="1" applyFill="1" applyBorder="1" applyAlignment="1">
      <alignment horizontal="right" vertical="center" wrapText="1" indent="1"/>
    </xf>
    <xf numFmtId="164" fontId="21" fillId="5" borderId="0" xfId="0" applyNumberFormat="1" applyFont="1" applyFill="1" applyAlignment="1">
      <alignment horizontal="right" vertical="center" wrapText="1" indent="1"/>
    </xf>
    <xf numFmtId="3" fontId="21" fillId="5" borderId="0" xfId="0" applyNumberFormat="1" applyFont="1" applyFill="1" applyAlignment="1">
      <alignment horizontal="right" vertical="center" wrapText="1" indent="1"/>
    </xf>
    <xf numFmtId="0" fontId="5" fillId="5" borderId="0" xfId="0" applyFont="1" applyFill="1" applyAlignment="1">
      <alignment horizontal="left" vertical="center" wrapText="1"/>
    </xf>
    <xf numFmtId="164" fontId="5" fillId="5" borderId="0" xfId="0" applyNumberFormat="1" applyFont="1" applyFill="1" applyAlignment="1">
      <alignment horizontal="right" vertical="center" wrapText="1" indent="1"/>
    </xf>
    <xf numFmtId="0" fontId="5" fillId="5" borderId="16" xfId="0" applyFont="1" applyFill="1" applyBorder="1" applyAlignment="1">
      <alignment horizontal="left" vertical="center" wrapText="1"/>
    </xf>
    <xf numFmtId="164" fontId="5" fillId="5" borderId="33" xfId="2" applyNumberFormat="1" applyFont="1" applyFill="1" applyBorder="1" applyAlignment="1">
      <alignment horizontal="right" vertical="center" wrapText="1" indent="1"/>
    </xf>
    <xf numFmtId="164" fontId="5" fillId="5" borderId="16" xfId="2" applyNumberFormat="1" applyFont="1" applyFill="1" applyBorder="1" applyAlignment="1">
      <alignment horizontal="right" vertical="center" wrapText="1" indent="1"/>
    </xf>
    <xf numFmtId="3" fontId="5" fillId="5" borderId="16" xfId="0" applyNumberFormat="1" applyFont="1" applyFill="1" applyBorder="1" applyAlignment="1">
      <alignment horizontal="right" vertical="center" wrapText="1" indent="1"/>
    </xf>
    <xf numFmtId="0" fontId="46" fillId="7" borderId="0" xfId="7" applyFont="1" applyFill="1" applyAlignment="1">
      <alignment horizontal="right" vertical="center"/>
    </xf>
    <xf numFmtId="49" fontId="21" fillId="5" borderId="19" xfId="0" applyNumberFormat="1" applyFont="1" applyFill="1" applyBorder="1" applyAlignment="1">
      <alignment horizontal="right" vertical="center" wrapText="1" indent="1"/>
    </xf>
    <xf numFmtId="49" fontId="21" fillId="5" borderId="11" xfId="0" applyNumberFormat="1" applyFont="1" applyFill="1" applyBorder="1" applyAlignment="1">
      <alignment horizontal="right" vertical="center" wrapText="1" indent="1"/>
    </xf>
    <xf numFmtId="0" fontId="21" fillId="5" borderId="14" xfId="0" applyFont="1" applyFill="1" applyBorder="1" applyAlignment="1">
      <alignment horizontal="left" vertical="center" wrapText="1"/>
    </xf>
    <xf numFmtId="164" fontId="21" fillId="5" borderId="63" xfId="0" applyNumberFormat="1" applyFont="1" applyFill="1" applyBorder="1" applyAlignment="1">
      <alignment horizontal="right" vertical="center" wrapText="1" indent="1"/>
    </xf>
    <xf numFmtId="164" fontId="21" fillId="5" borderId="14" xfId="0" applyNumberFormat="1" applyFont="1" applyFill="1" applyBorder="1" applyAlignment="1">
      <alignment horizontal="right" vertical="center" wrapText="1" indent="1"/>
    </xf>
    <xf numFmtId="3" fontId="21" fillId="5" borderId="14" xfId="0" applyNumberFormat="1" applyFont="1" applyFill="1" applyBorder="1" applyAlignment="1">
      <alignment horizontal="right" vertical="center" wrapText="1" indent="1"/>
    </xf>
    <xf numFmtId="0" fontId="21" fillId="3" borderId="11" xfId="0" applyFont="1" applyFill="1" applyBorder="1" applyAlignment="1">
      <alignment horizontal="left" vertical="center" wrapText="1"/>
    </xf>
    <xf numFmtId="166" fontId="21" fillId="3" borderId="19" xfId="2" applyNumberFormat="1" applyFont="1" applyFill="1" applyBorder="1" applyAlignment="1">
      <alignment horizontal="right" vertical="center" wrapText="1" indent="1"/>
    </xf>
    <xf numFmtId="166" fontId="21" fillId="3" borderId="11" xfId="2" applyNumberFormat="1" applyFont="1" applyFill="1" applyBorder="1" applyAlignment="1">
      <alignment horizontal="right" vertical="center" wrapText="1" indent="1"/>
    </xf>
    <xf numFmtId="3" fontId="21" fillId="3" borderId="11" xfId="0" applyNumberFormat="1" applyFont="1" applyFill="1" applyBorder="1" applyAlignment="1">
      <alignment horizontal="right" vertical="center" wrapText="1" indent="1"/>
    </xf>
    <xf numFmtId="0" fontId="21" fillId="3" borderId="16" xfId="0" applyFont="1" applyFill="1" applyBorder="1" applyAlignment="1">
      <alignment horizontal="left" vertical="center" wrapText="1"/>
    </xf>
    <xf numFmtId="166" fontId="21" fillId="3" borderId="33" xfId="2" applyNumberFormat="1" applyFont="1" applyFill="1" applyBorder="1" applyAlignment="1">
      <alignment horizontal="right" vertical="center" wrapText="1" indent="1"/>
    </xf>
    <xf numFmtId="166" fontId="21" fillId="3" borderId="16" xfId="2" applyNumberFormat="1" applyFont="1" applyFill="1" applyBorder="1" applyAlignment="1">
      <alignment horizontal="right" vertical="center" wrapText="1" indent="1"/>
    </xf>
    <xf numFmtId="3" fontId="21" fillId="3" borderId="16" xfId="0" applyNumberFormat="1" applyFont="1" applyFill="1" applyBorder="1" applyAlignment="1">
      <alignment horizontal="right" vertical="center" wrapText="1" indent="1"/>
    </xf>
    <xf numFmtId="166" fontId="10" fillId="5" borderId="22" xfId="2" applyNumberFormat="1" applyFont="1" applyFill="1" applyBorder="1" applyAlignment="1">
      <alignment horizontal="right" vertical="center" wrapText="1" indent="1"/>
    </xf>
    <xf numFmtId="166" fontId="10" fillId="5" borderId="21" xfId="2" applyNumberFormat="1" applyFont="1" applyFill="1" applyBorder="1" applyAlignment="1">
      <alignment horizontal="right" vertical="center" wrapText="1" indent="1"/>
    </xf>
    <xf numFmtId="0" fontId="12" fillId="5" borderId="0" xfId="0" applyFont="1" applyFill="1" applyAlignment="1">
      <alignment horizontal="left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49" fillId="7" borderId="0" xfId="0" applyFont="1" applyFill="1" applyAlignment="1">
      <alignment horizontal="right" vertical="center"/>
    </xf>
    <xf numFmtId="49" fontId="10" fillId="5" borderId="50" xfId="0" applyNumberFormat="1" applyFont="1" applyFill="1" applyBorder="1" applyAlignment="1">
      <alignment horizontal="center" vertical="center" wrapText="1"/>
    </xf>
    <xf numFmtId="49" fontId="10" fillId="5" borderId="48" xfId="0" applyNumberFormat="1" applyFont="1" applyFill="1" applyBorder="1" applyAlignment="1">
      <alignment horizontal="center" vertical="center" wrapText="1"/>
    </xf>
    <xf numFmtId="164" fontId="12" fillId="5" borderId="56" xfId="0" applyNumberFormat="1" applyFont="1" applyFill="1" applyBorder="1" applyAlignment="1">
      <alignment horizontal="right" vertical="center" wrapText="1"/>
    </xf>
    <xf numFmtId="0" fontId="60" fillId="5" borderId="66" xfId="0" applyFont="1" applyFill="1" applyBorder="1" applyAlignment="1">
      <alignment vertical="center" wrapText="1"/>
    </xf>
    <xf numFmtId="0" fontId="55" fillId="5" borderId="116" xfId="0" applyFont="1" applyFill="1" applyBorder="1" applyAlignment="1">
      <alignment horizontal="center" vertical="center" wrapText="1"/>
    </xf>
    <xf numFmtId="49" fontId="10" fillId="5" borderId="37" xfId="0" applyNumberFormat="1" applyFont="1" applyFill="1" applyBorder="1" applyAlignment="1">
      <alignment horizontal="right" vertical="center" wrapText="1" indent="1"/>
    </xf>
    <xf numFmtId="49" fontId="10" fillId="5" borderId="36" xfId="0" applyNumberFormat="1" applyFont="1" applyFill="1" applyBorder="1" applyAlignment="1">
      <alignment horizontal="right" vertical="center" wrapText="1" indent="1"/>
    </xf>
    <xf numFmtId="0" fontId="9" fillId="5" borderId="87" xfId="0" applyFont="1" applyFill="1" applyBorder="1" applyAlignment="1">
      <alignment vertical="center" wrapText="1"/>
    </xf>
    <xf numFmtId="164" fontId="9" fillId="5" borderId="93" xfId="0" applyNumberFormat="1" applyFont="1" applyFill="1" applyBorder="1" applyAlignment="1">
      <alignment horizontal="right" vertical="center" wrapText="1" indent="1"/>
    </xf>
    <xf numFmtId="164" fontId="9" fillId="5" borderId="87" xfId="0" applyNumberFormat="1" applyFont="1" applyFill="1" applyBorder="1" applyAlignment="1">
      <alignment horizontal="right" vertical="center" wrapText="1" indent="1"/>
    </xf>
    <xf numFmtId="166" fontId="10" fillId="5" borderId="40" xfId="0" applyNumberFormat="1" applyFont="1" applyFill="1" applyBorder="1" applyAlignment="1">
      <alignment horizontal="right" vertical="center" wrapText="1" indent="1"/>
    </xf>
    <xf numFmtId="166" fontId="10" fillId="5" borderId="0" xfId="0" applyNumberFormat="1" applyFont="1" applyFill="1" applyAlignment="1">
      <alignment horizontal="right" vertical="center" wrapText="1" indent="1"/>
    </xf>
    <xf numFmtId="0" fontId="10" fillId="5" borderId="90" xfId="0" applyFont="1" applyFill="1" applyBorder="1" applyAlignment="1">
      <alignment vertical="center" wrapText="1"/>
    </xf>
    <xf numFmtId="166" fontId="10" fillId="5" borderId="98" xfId="0" applyNumberFormat="1" applyFont="1" applyFill="1" applyBorder="1" applyAlignment="1">
      <alignment horizontal="right" vertical="center" wrapText="1" indent="1"/>
    </xf>
    <xf numFmtId="166" fontId="10" fillId="5" borderId="90" xfId="0" applyNumberFormat="1" applyFont="1" applyFill="1" applyBorder="1" applyAlignment="1">
      <alignment horizontal="right" vertical="center" wrapText="1" indent="1"/>
    </xf>
    <xf numFmtId="164" fontId="10" fillId="5" borderId="23" xfId="0" applyNumberFormat="1" applyFont="1" applyFill="1" applyBorder="1" applyAlignment="1">
      <alignment horizontal="right" vertical="center" wrapText="1" indent="1"/>
    </xf>
    <xf numFmtId="164" fontId="10" fillId="5" borderId="21" xfId="0" applyNumberFormat="1" applyFont="1" applyFill="1" applyBorder="1" applyAlignment="1">
      <alignment horizontal="right" vertical="center" wrapText="1" indent="1"/>
    </xf>
    <xf numFmtId="0" fontId="2" fillId="0" borderId="0" xfId="0" applyFont="1" applyAlignment="1">
      <alignment horizontal="left" vertical="center"/>
    </xf>
    <xf numFmtId="0" fontId="46" fillId="7" borderId="0" xfId="7" applyFont="1" applyFill="1" applyAlignment="1">
      <alignment horizontal="left" vertical="center"/>
    </xf>
    <xf numFmtId="0" fontId="0" fillId="0" borderId="0" xfId="0" applyAlignment="1">
      <alignment vertical="center"/>
    </xf>
    <xf numFmtId="164" fontId="67" fillId="0" borderId="0" xfId="0" applyNumberFormat="1" applyFont="1" applyAlignment="1">
      <alignment horizontal="right" vertical="center" wrapText="1"/>
    </xf>
    <xf numFmtId="0" fontId="22" fillId="5" borderId="120" xfId="0" applyFont="1" applyFill="1" applyBorder="1" applyAlignment="1">
      <alignment horizontal="center" vertical="center" wrapText="1"/>
    </xf>
    <xf numFmtId="0" fontId="22" fillId="5" borderId="123" xfId="0" applyFont="1" applyFill="1" applyBorder="1" applyAlignment="1">
      <alignment horizontal="center" vertical="center" wrapText="1"/>
    </xf>
    <xf numFmtId="0" fontId="12" fillId="5" borderId="124" xfId="0" applyFont="1" applyFill="1" applyBorder="1" applyAlignment="1">
      <alignment horizontal="left" vertical="center" wrapText="1"/>
    </xf>
    <xf numFmtId="164" fontId="12" fillId="5" borderId="125" xfId="0" applyNumberFormat="1" applyFont="1" applyFill="1" applyBorder="1" applyAlignment="1">
      <alignment horizontal="right" vertical="center" wrapText="1" indent="1"/>
    </xf>
    <xf numFmtId="0" fontId="12" fillId="5" borderId="127" xfId="0" applyFont="1" applyFill="1" applyBorder="1" applyAlignment="1">
      <alignment horizontal="left" vertical="center" wrapText="1"/>
    </xf>
    <xf numFmtId="164" fontId="12" fillId="5" borderId="128" xfId="0" applyNumberFormat="1" applyFont="1" applyFill="1" applyBorder="1" applyAlignment="1">
      <alignment horizontal="right" vertical="center" wrapText="1" indent="1"/>
    </xf>
    <xf numFmtId="0" fontId="12" fillId="5" borderId="130" xfId="0" applyFont="1" applyFill="1" applyBorder="1" applyAlignment="1">
      <alignment horizontal="left" vertical="center" wrapText="1"/>
    </xf>
    <xf numFmtId="164" fontId="12" fillId="5" borderId="131" xfId="0" applyNumberFormat="1" applyFont="1" applyFill="1" applyBorder="1" applyAlignment="1">
      <alignment horizontal="right" vertical="center" wrapText="1" indent="1"/>
    </xf>
    <xf numFmtId="0" fontId="12" fillId="5" borderId="108" xfId="0" applyFont="1" applyFill="1" applyBorder="1" applyAlignment="1">
      <alignment vertical="center" wrapText="1"/>
    </xf>
    <xf numFmtId="0" fontId="12" fillId="5" borderId="133" xfId="0" applyFont="1" applyFill="1" applyBorder="1" applyAlignment="1">
      <alignment vertical="center" wrapText="1"/>
    </xf>
    <xf numFmtId="0" fontId="16" fillId="5" borderId="133" xfId="0" applyFont="1" applyFill="1" applyBorder="1" applyAlignment="1">
      <alignment horizontal="right" vertical="center" wrapText="1"/>
    </xf>
    <xf numFmtId="164" fontId="16" fillId="5" borderId="133" xfId="0" applyNumberFormat="1" applyFont="1" applyFill="1" applyBorder="1" applyAlignment="1">
      <alignment horizontal="right" vertical="center" wrapText="1" indent="1"/>
    </xf>
    <xf numFmtId="0" fontId="9" fillId="5" borderId="135" xfId="0" applyFont="1" applyFill="1" applyBorder="1" applyAlignment="1">
      <alignment vertical="center" wrapText="1"/>
    </xf>
    <xf numFmtId="164" fontId="9" fillId="5" borderId="105" xfId="0" applyNumberFormat="1" applyFont="1" applyFill="1" applyBorder="1" applyAlignment="1">
      <alignment horizontal="right" vertical="center" wrapText="1" indent="1"/>
    </xf>
    <xf numFmtId="164" fontId="9" fillId="5" borderId="135" xfId="0" applyNumberFormat="1" applyFont="1" applyFill="1" applyBorder="1" applyAlignment="1">
      <alignment horizontal="right" vertical="center" wrapText="1" indent="1"/>
    </xf>
    <xf numFmtId="164" fontId="9" fillId="5" borderId="136" xfId="0" applyNumberFormat="1" applyFont="1" applyFill="1" applyBorder="1" applyAlignment="1">
      <alignment horizontal="right" vertical="center" wrapText="1" indent="1"/>
    </xf>
    <xf numFmtId="165" fontId="9" fillId="5" borderId="135" xfId="0" applyNumberFormat="1" applyFont="1" applyFill="1" applyBorder="1" applyAlignment="1">
      <alignment horizontal="right" vertical="center" wrapText="1" indent="1"/>
    </xf>
    <xf numFmtId="0" fontId="9" fillId="5" borderId="106" xfId="0" applyFont="1" applyFill="1" applyBorder="1" applyAlignment="1">
      <alignment vertical="center" wrapText="1"/>
    </xf>
    <xf numFmtId="164" fontId="9" fillId="5" borderId="137" xfId="0" applyNumberFormat="1" applyFont="1" applyFill="1" applyBorder="1" applyAlignment="1">
      <alignment horizontal="right" vertical="center" wrapText="1" indent="1"/>
    </xf>
    <xf numFmtId="164" fontId="9" fillId="5" borderId="106" xfId="0" applyNumberFormat="1" applyFont="1" applyFill="1" applyBorder="1" applyAlignment="1">
      <alignment horizontal="right" vertical="center" wrapText="1" indent="1"/>
    </xf>
    <xf numFmtId="164" fontId="9" fillId="5" borderId="138" xfId="0" applyNumberFormat="1" applyFont="1" applyFill="1" applyBorder="1" applyAlignment="1">
      <alignment horizontal="right" vertical="center" wrapText="1" indent="1"/>
    </xf>
    <xf numFmtId="165" fontId="9" fillId="5" borderId="106" xfId="0" applyNumberFormat="1" applyFont="1" applyFill="1" applyBorder="1" applyAlignment="1">
      <alignment horizontal="right" vertical="center" wrapText="1" indent="1"/>
    </xf>
    <xf numFmtId="0" fontId="9" fillId="5" borderId="139" xfId="0" applyFont="1" applyFill="1" applyBorder="1" applyAlignment="1">
      <alignment vertical="center" wrapText="1"/>
    </xf>
    <xf numFmtId="164" fontId="9" fillId="5" borderId="140" xfId="0" applyNumberFormat="1" applyFont="1" applyFill="1" applyBorder="1" applyAlignment="1">
      <alignment horizontal="right" vertical="center" wrapText="1" indent="1"/>
    </xf>
    <xf numFmtId="164" fontId="9" fillId="5" borderId="139" xfId="0" applyNumberFormat="1" applyFont="1" applyFill="1" applyBorder="1" applyAlignment="1">
      <alignment horizontal="right" vertical="center" wrapText="1" indent="1"/>
    </xf>
    <xf numFmtId="164" fontId="9" fillId="5" borderId="141" xfId="0" applyNumberFormat="1" applyFont="1" applyFill="1" applyBorder="1" applyAlignment="1">
      <alignment horizontal="right" vertical="center" wrapText="1" indent="1"/>
    </xf>
    <xf numFmtId="165" fontId="9" fillId="5" borderId="139" xfId="0" applyNumberFormat="1" applyFont="1" applyFill="1" applyBorder="1" applyAlignment="1">
      <alignment horizontal="right" vertical="center" wrapText="1" indent="1"/>
    </xf>
    <xf numFmtId="165" fontId="10" fillId="5" borderId="21" xfId="0" applyNumberFormat="1" applyFont="1" applyFill="1" applyBorder="1" applyAlignment="1">
      <alignment horizontal="right" vertical="center" wrapText="1" indent="1"/>
    </xf>
    <xf numFmtId="0" fontId="9" fillId="5" borderId="118" xfId="0" applyFont="1" applyFill="1" applyBorder="1" applyAlignment="1">
      <alignment vertical="center" wrapText="1"/>
    </xf>
    <xf numFmtId="164" fontId="9" fillId="5" borderId="117" xfId="0" applyNumberFormat="1" applyFont="1" applyFill="1" applyBorder="1" applyAlignment="1">
      <alignment horizontal="right" vertical="center" wrapText="1" indent="1"/>
    </xf>
    <xf numFmtId="164" fontId="9" fillId="5" borderId="118" xfId="0" applyNumberFormat="1" applyFont="1" applyFill="1" applyBorder="1" applyAlignment="1">
      <alignment horizontal="right" vertical="center" wrapText="1" indent="1"/>
    </xf>
    <xf numFmtId="164" fontId="9" fillId="5" borderId="142" xfId="0" applyNumberFormat="1" applyFont="1" applyFill="1" applyBorder="1" applyAlignment="1">
      <alignment horizontal="right" vertical="center" wrapText="1" indent="1"/>
    </xf>
    <xf numFmtId="165" fontId="9" fillId="5" borderId="118" xfId="0" applyNumberFormat="1" applyFont="1" applyFill="1" applyBorder="1" applyAlignment="1">
      <alignment horizontal="right" vertical="center" wrapText="1" indent="1"/>
    </xf>
    <xf numFmtId="164" fontId="10" fillId="5" borderId="63" xfId="0" applyNumberFormat="1" applyFont="1" applyFill="1" applyBorder="1" applyAlignment="1">
      <alignment horizontal="right" vertical="center" wrapText="1" indent="1"/>
    </xf>
    <xf numFmtId="164" fontId="10" fillId="5" borderId="14" xfId="0" applyNumberFormat="1" applyFont="1" applyFill="1" applyBorder="1" applyAlignment="1">
      <alignment horizontal="right" vertical="center" wrapText="1" indent="1"/>
    </xf>
    <xf numFmtId="164" fontId="10" fillId="5" borderId="13" xfId="0" applyNumberFormat="1" applyFont="1" applyFill="1" applyBorder="1" applyAlignment="1">
      <alignment horizontal="right" vertical="center" wrapText="1" indent="1"/>
    </xf>
    <xf numFmtId="165" fontId="10" fillId="5" borderId="14" xfId="0" applyNumberFormat="1" applyFont="1" applyFill="1" applyBorder="1" applyAlignment="1">
      <alignment horizontal="right" vertical="center" wrapText="1" indent="1"/>
    </xf>
    <xf numFmtId="165" fontId="9" fillId="3" borderId="49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3" fontId="72" fillId="5" borderId="0" xfId="0" applyNumberFormat="1" applyFont="1" applyFill="1" applyAlignment="1">
      <alignment horizontal="right" vertical="center" wrapText="1"/>
    </xf>
    <xf numFmtId="49" fontId="10" fillId="0" borderId="27" xfId="0" applyNumberFormat="1" applyFont="1" applyBorder="1" applyAlignment="1">
      <alignment horizontal="right" vertical="center" wrapText="1" indent="1"/>
    </xf>
    <xf numFmtId="0" fontId="67" fillId="0" borderId="143" xfId="0" applyFont="1" applyBorder="1" applyAlignment="1">
      <alignment vertical="center" wrapText="1"/>
    </xf>
    <xf numFmtId="0" fontId="66" fillId="0" borderId="144" xfId="0" applyFont="1" applyBorder="1" applyAlignment="1">
      <alignment vertical="center"/>
    </xf>
    <xf numFmtId="4" fontId="2" fillId="5" borderId="20" xfId="3" applyNumberFormat="1" applyFont="1" applyFill="1" applyBorder="1" applyAlignment="1">
      <alignment horizontal="right" vertical="center" wrapText="1" indent="1"/>
    </xf>
    <xf numFmtId="4" fontId="2" fillId="5" borderId="0" xfId="3" applyNumberFormat="1" applyFont="1" applyFill="1" applyAlignment="1">
      <alignment horizontal="right" vertical="center" wrapText="1" indent="1"/>
    </xf>
    <xf numFmtId="4" fontId="2" fillId="5" borderId="12" xfId="3" applyNumberFormat="1" applyFont="1" applyFill="1" applyBorder="1" applyAlignment="1">
      <alignment horizontal="right" vertical="center" wrapText="1" indent="1"/>
    </xf>
    <xf numFmtId="4" fontId="2" fillId="5" borderId="19" xfId="3" applyNumberFormat="1" applyFont="1" applyFill="1" applyBorder="1" applyAlignment="1">
      <alignment horizontal="right" vertical="center" wrapText="1" indent="1"/>
    </xf>
    <xf numFmtId="4" fontId="2" fillId="5" borderId="11" xfId="3" applyNumberFormat="1" applyFont="1" applyFill="1" applyBorder="1" applyAlignment="1">
      <alignment horizontal="right" vertical="center" wrapText="1" indent="1"/>
    </xf>
    <xf numFmtId="4" fontId="2" fillId="5" borderId="10" xfId="3" applyNumberFormat="1" applyFont="1" applyFill="1" applyBorder="1" applyAlignment="1">
      <alignment horizontal="right" vertical="center" wrapText="1" indent="1"/>
    </xf>
    <xf numFmtId="4" fontId="22" fillId="5" borderId="20" xfId="3" applyNumberFormat="1" applyFont="1" applyFill="1" applyBorder="1" applyAlignment="1">
      <alignment horizontal="right" vertical="center" wrapText="1" indent="1"/>
    </xf>
    <xf numFmtId="4" fontId="22" fillId="5" borderId="0" xfId="3" applyNumberFormat="1" applyFont="1" applyFill="1" applyAlignment="1">
      <alignment horizontal="right" vertical="center" wrapText="1" indent="1"/>
    </xf>
    <xf numFmtId="4" fontId="22" fillId="5" borderId="12" xfId="3" applyNumberFormat="1" applyFont="1" applyFill="1" applyBorder="1" applyAlignment="1">
      <alignment horizontal="right" vertical="center" wrapText="1" indent="1"/>
    </xf>
    <xf numFmtId="4" fontId="22" fillId="5" borderId="22" xfId="3" applyNumberFormat="1" applyFont="1" applyFill="1" applyBorder="1" applyAlignment="1">
      <alignment horizontal="right" vertical="center" wrapText="1" indent="1"/>
    </xf>
    <xf numFmtId="4" fontId="22" fillId="5" borderId="21" xfId="3" applyNumberFormat="1" applyFont="1" applyFill="1" applyBorder="1" applyAlignment="1">
      <alignment horizontal="right" vertical="center" wrapText="1" indent="1"/>
    </xf>
    <xf numFmtId="4" fontId="22" fillId="5" borderId="23" xfId="3" applyNumberFormat="1" applyFont="1" applyFill="1" applyBorder="1" applyAlignment="1">
      <alignment horizontal="right" vertical="center" wrapText="1" indent="1"/>
    </xf>
    <xf numFmtId="4" fontId="5" fillId="5" borderId="20" xfId="3" applyNumberFormat="1" applyFont="1" applyFill="1" applyBorder="1" applyAlignment="1">
      <alignment horizontal="right" vertical="center" wrapText="1" indent="1"/>
    </xf>
    <xf numFmtId="4" fontId="5" fillId="5" borderId="0" xfId="3" applyNumberFormat="1" applyFont="1" applyFill="1" applyAlignment="1">
      <alignment horizontal="right" vertical="center" wrapText="1" indent="1"/>
    </xf>
    <xf numFmtId="4" fontId="5" fillId="5" borderId="12" xfId="3" applyNumberFormat="1" applyFont="1" applyFill="1" applyBorder="1" applyAlignment="1">
      <alignment horizontal="right" vertical="center" wrapText="1" indent="1"/>
    </xf>
    <xf numFmtId="4" fontId="21" fillId="5" borderId="22" xfId="3" applyNumberFormat="1" applyFont="1" applyFill="1" applyBorder="1" applyAlignment="1">
      <alignment horizontal="right" vertical="center" wrapText="1" indent="1"/>
    </xf>
    <xf numFmtId="4" fontId="21" fillId="5" borderId="21" xfId="3" applyNumberFormat="1" applyFont="1" applyFill="1" applyBorder="1" applyAlignment="1">
      <alignment horizontal="right" vertical="center" wrapText="1" indent="1"/>
    </xf>
    <xf numFmtId="4" fontId="21" fillId="5" borderId="23" xfId="3" applyNumberFormat="1" applyFont="1" applyFill="1" applyBorder="1" applyAlignment="1">
      <alignment horizontal="right" vertical="center" wrapText="1" indent="1"/>
    </xf>
    <xf numFmtId="4" fontId="21" fillId="5" borderId="20" xfId="3" applyNumberFormat="1" applyFont="1" applyFill="1" applyBorder="1" applyAlignment="1">
      <alignment horizontal="right" vertical="center" wrapText="1" indent="1"/>
    </xf>
    <xf numFmtId="4" fontId="21" fillId="5" borderId="0" xfId="3" applyNumberFormat="1" applyFont="1" applyFill="1" applyAlignment="1">
      <alignment horizontal="right" vertical="center" wrapText="1" indent="1"/>
    </xf>
    <xf numFmtId="4" fontId="21" fillId="5" borderId="12" xfId="3" applyNumberFormat="1" applyFont="1" applyFill="1" applyBorder="1" applyAlignment="1">
      <alignment horizontal="right" vertical="center" wrapText="1" indent="1"/>
    </xf>
    <xf numFmtId="4" fontId="5" fillId="5" borderId="19" xfId="3" applyNumberFormat="1" applyFont="1" applyFill="1" applyBorder="1" applyAlignment="1">
      <alignment horizontal="right" vertical="center" wrapText="1" indent="1"/>
    </xf>
    <xf numFmtId="4" fontId="5" fillId="5" borderId="11" xfId="3" applyNumberFormat="1" applyFont="1" applyFill="1" applyBorder="1" applyAlignment="1">
      <alignment horizontal="right" vertical="center" wrapText="1" indent="1"/>
    </xf>
    <xf numFmtId="4" fontId="5" fillId="5" borderId="10" xfId="3" applyNumberFormat="1" applyFont="1" applyFill="1" applyBorder="1" applyAlignment="1">
      <alignment horizontal="right" vertical="center" wrapText="1" indent="1"/>
    </xf>
    <xf numFmtId="4" fontId="5" fillId="5" borderId="33" xfId="3" applyNumberFormat="1" applyFont="1" applyFill="1" applyBorder="1" applyAlignment="1">
      <alignment horizontal="right" vertical="center" wrapText="1" indent="1"/>
    </xf>
    <xf numFmtId="4" fontId="5" fillId="5" borderId="16" xfId="3" applyNumberFormat="1" applyFont="1" applyFill="1" applyBorder="1" applyAlignment="1">
      <alignment horizontal="right" vertical="center" wrapText="1" indent="1"/>
    </xf>
    <xf numFmtId="4" fontId="5" fillId="5" borderId="15" xfId="3" applyNumberFormat="1" applyFont="1" applyFill="1" applyBorder="1" applyAlignment="1">
      <alignment horizontal="right" vertical="center" wrapText="1" indent="1"/>
    </xf>
    <xf numFmtId="49" fontId="22" fillId="0" borderId="0" xfId="0" applyNumberFormat="1" applyFont="1" applyAlignment="1">
      <alignment horizontal="right" vertical="center"/>
    </xf>
    <xf numFmtId="164" fontId="2" fillId="5" borderId="0" xfId="0" applyNumberFormat="1" applyFont="1" applyFill="1" applyAlignment="1">
      <alignment horizontal="right" vertical="center" wrapText="1" indent="1"/>
    </xf>
    <xf numFmtId="164" fontId="9" fillId="3" borderId="12" xfId="0" applyNumberFormat="1" applyFont="1" applyFill="1" applyBorder="1" applyAlignment="1">
      <alignment horizontal="right" vertical="center" wrapText="1" indent="1"/>
    </xf>
    <xf numFmtId="3" fontId="10" fillId="3" borderId="23" xfId="0" applyNumberFormat="1" applyFont="1" applyFill="1" applyBorder="1" applyAlignment="1">
      <alignment horizontal="right" vertical="center" wrapText="1" indent="1"/>
    </xf>
    <xf numFmtId="165" fontId="9" fillId="3" borderId="41" xfId="0" applyNumberFormat="1" applyFont="1" applyFill="1" applyBorder="1" applyAlignment="1">
      <alignment horizontal="right" vertical="center" wrapText="1"/>
    </xf>
    <xf numFmtId="1" fontId="10" fillId="3" borderId="47" xfId="0" applyNumberFormat="1" applyFont="1" applyFill="1" applyBorder="1" applyAlignment="1">
      <alignment vertical="center" wrapText="1"/>
    </xf>
    <xf numFmtId="165" fontId="9" fillId="3" borderId="3" xfId="0" applyNumberFormat="1" applyFont="1" applyFill="1" applyBorder="1" applyAlignment="1">
      <alignment horizontal="right" vertical="center" wrapText="1"/>
    </xf>
    <xf numFmtId="1" fontId="10" fillId="3" borderId="62" xfId="0" applyNumberFormat="1" applyFont="1" applyFill="1" applyBorder="1" applyAlignment="1">
      <alignment vertical="center" wrapText="1"/>
    </xf>
    <xf numFmtId="0" fontId="28" fillId="0" borderId="6" xfId="29" applyFont="1" applyBorder="1"/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left" vertical="center"/>
    </xf>
    <xf numFmtId="164" fontId="10" fillId="5" borderId="152" xfId="0" applyNumberFormat="1" applyFont="1" applyFill="1" applyBorder="1" applyAlignment="1">
      <alignment horizontal="right" vertical="top" wrapText="1" indent="1"/>
    </xf>
    <xf numFmtId="49" fontId="2" fillId="0" borderId="156" xfId="0" applyNumberFormat="1" applyFont="1" applyBorder="1" applyAlignment="1">
      <alignment horizontal="center" vertical="center"/>
    </xf>
    <xf numFmtId="49" fontId="2" fillId="0" borderId="156" xfId="0" applyNumberFormat="1" applyFont="1" applyBorder="1" applyAlignment="1">
      <alignment horizontal="center"/>
    </xf>
    <xf numFmtId="49" fontId="2" fillId="9" borderId="156" xfId="0" applyNumberFormat="1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right" vertical="center" wrapText="1" indent="1"/>
    </xf>
    <xf numFmtId="0" fontId="10" fillId="5" borderId="11" xfId="0" applyFont="1" applyFill="1" applyBorder="1" applyAlignment="1">
      <alignment horizontal="right" vertical="center" wrapText="1" indent="1"/>
    </xf>
    <xf numFmtId="49" fontId="2" fillId="0" borderId="155" xfId="0" applyNumberFormat="1" applyFont="1" applyBorder="1" applyAlignment="1">
      <alignment horizontal="center" vertical="center"/>
    </xf>
    <xf numFmtId="4" fontId="2" fillId="0" borderId="153" xfId="0" applyNumberFormat="1" applyFont="1" applyBorder="1" applyAlignment="1">
      <alignment horizontal="right" vertical="center"/>
    </xf>
    <xf numFmtId="4" fontId="2" fillId="0" borderId="154" xfId="0" applyNumberFormat="1" applyFont="1" applyBorder="1" applyAlignment="1">
      <alignment horizontal="right" vertical="center"/>
    </xf>
    <xf numFmtId="4" fontId="2" fillId="9" borderId="154" xfId="0" applyNumberFormat="1" applyFont="1" applyFill="1" applyBorder="1" applyAlignment="1">
      <alignment horizontal="right" vertical="center"/>
    </xf>
    <xf numFmtId="164" fontId="10" fillId="5" borderId="14" xfId="2" applyNumberFormat="1" applyFont="1" applyFill="1" applyBorder="1" applyAlignment="1">
      <alignment horizontal="right" vertical="center" wrapText="1" indent="1"/>
    </xf>
    <xf numFmtId="164" fontId="10" fillId="5" borderId="21" xfId="2" applyNumberFormat="1" applyFont="1" applyFill="1" applyBorder="1" applyAlignment="1">
      <alignment horizontal="right" vertical="center" wrapText="1" indent="1"/>
    </xf>
    <xf numFmtId="165" fontId="10" fillId="3" borderId="13" xfId="0" applyNumberFormat="1" applyFont="1" applyFill="1" applyBorder="1" applyAlignment="1">
      <alignment horizontal="right" vertical="center" wrapText="1" indent="1"/>
    </xf>
    <xf numFmtId="3" fontId="9" fillId="5" borderId="14" xfId="0" applyNumberFormat="1" applyFont="1" applyFill="1" applyBorder="1" applyAlignment="1">
      <alignment horizontal="right" vertical="center" wrapText="1" indent="1"/>
    </xf>
    <xf numFmtId="165" fontId="10" fillId="3" borderId="49" xfId="0" applyNumberFormat="1" applyFont="1" applyFill="1" applyBorder="1" applyAlignment="1">
      <alignment horizontal="right" vertical="center" wrapText="1"/>
    </xf>
    <xf numFmtId="0" fontId="33" fillId="2" borderId="0" xfId="0" applyFont="1" applyFill="1" applyAlignment="1">
      <alignment horizontal="left" vertical="center" wrapText="1"/>
    </xf>
    <xf numFmtId="0" fontId="9" fillId="5" borderId="41" xfId="0" applyFont="1" applyFill="1" applyBorder="1" applyAlignment="1">
      <alignment vertical="center" wrapText="1"/>
    </xf>
    <xf numFmtId="164" fontId="10" fillId="5" borderId="166" xfId="0" applyNumberFormat="1" applyFont="1" applyFill="1" applyBorder="1" applyAlignment="1">
      <alignment horizontal="right" vertical="center" wrapText="1" indent="1"/>
    </xf>
    <xf numFmtId="0" fontId="9" fillId="5" borderId="36" xfId="0" applyFont="1" applyFill="1" applyBorder="1" applyAlignment="1">
      <alignment horizontal="left" vertical="center" wrapText="1" indent="1"/>
    </xf>
    <xf numFmtId="3" fontId="10" fillId="5" borderId="165" xfId="0" applyNumberFormat="1" applyFont="1" applyFill="1" applyBorder="1" applyAlignment="1">
      <alignment horizontal="right" vertical="center" wrapText="1" indent="1"/>
    </xf>
    <xf numFmtId="0" fontId="10" fillId="5" borderId="165" xfId="0" applyFont="1" applyFill="1" applyBorder="1" applyAlignment="1">
      <alignment vertical="center" wrapText="1"/>
    </xf>
    <xf numFmtId="165" fontId="10" fillId="3" borderId="164" xfId="0" applyNumberFormat="1" applyFont="1" applyFill="1" applyBorder="1" applyAlignment="1">
      <alignment horizontal="right" vertical="center" wrapText="1" indent="1"/>
    </xf>
    <xf numFmtId="0" fontId="10" fillId="5" borderId="42" xfId="0" applyFont="1" applyFill="1" applyBorder="1" applyAlignment="1">
      <alignment vertical="center" wrapText="1"/>
    </xf>
    <xf numFmtId="164" fontId="10" fillId="5" borderId="46" xfId="0" applyNumberFormat="1" applyFont="1" applyFill="1" applyBorder="1" applyAlignment="1">
      <alignment horizontal="right" vertical="center" wrapText="1"/>
    </xf>
    <xf numFmtId="0" fontId="52" fillId="7" borderId="0" xfId="0" applyFont="1" applyFill="1" applyAlignment="1">
      <alignment vertical="center" wrapText="1"/>
    </xf>
    <xf numFmtId="165" fontId="9" fillId="3" borderId="49" xfId="0" applyNumberFormat="1" applyFont="1" applyFill="1" applyBorder="1" applyAlignment="1">
      <alignment horizontal="right" vertical="center" wrapText="1" indent="1"/>
    </xf>
    <xf numFmtId="164" fontId="9" fillId="5" borderId="56" xfId="0" applyNumberFormat="1" applyFont="1" applyFill="1" applyBorder="1" applyAlignment="1">
      <alignment horizontal="right" vertical="center" wrapText="1" indent="1"/>
    </xf>
    <xf numFmtId="165" fontId="9" fillId="3" borderId="163" xfId="0" applyNumberFormat="1" applyFont="1" applyFill="1" applyBorder="1" applyAlignment="1">
      <alignment horizontal="right" vertical="center" wrapText="1" indent="1"/>
    </xf>
    <xf numFmtId="3" fontId="9" fillId="5" borderId="55" xfId="0" applyNumberFormat="1" applyFont="1" applyFill="1" applyBorder="1" applyAlignment="1">
      <alignment horizontal="right" vertical="center" wrapText="1" indent="1"/>
    </xf>
    <xf numFmtId="164" fontId="9" fillId="5" borderId="162" xfId="0" applyNumberFormat="1" applyFont="1" applyFill="1" applyBorder="1" applyAlignment="1">
      <alignment horizontal="right" vertical="center" wrapText="1" indent="1"/>
    </xf>
    <xf numFmtId="3" fontId="9" fillId="5" borderId="160" xfId="0" applyNumberFormat="1" applyFont="1" applyFill="1" applyBorder="1" applyAlignment="1">
      <alignment horizontal="right" vertical="center" wrapText="1" indent="1"/>
    </xf>
    <xf numFmtId="164" fontId="9" fillId="5" borderId="160" xfId="0" applyNumberFormat="1" applyFont="1" applyFill="1" applyBorder="1" applyAlignment="1">
      <alignment horizontal="right" vertical="center" wrapText="1" indent="1"/>
    </xf>
    <xf numFmtId="164" fontId="12" fillId="5" borderId="40" xfId="0" applyNumberFormat="1" applyFont="1" applyFill="1" applyBorder="1" applyAlignment="1">
      <alignment horizontal="right" vertical="center" wrapText="1"/>
    </xf>
    <xf numFmtId="164" fontId="10" fillId="5" borderId="40" xfId="0" applyNumberFormat="1" applyFont="1" applyFill="1" applyBorder="1" applyAlignment="1">
      <alignment horizontal="right" vertical="center" wrapText="1"/>
    </xf>
    <xf numFmtId="0" fontId="10" fillId="5" borderId="43" xfId="0" applyFont="1" applyFill="1" applyBorder="1" applyAlignment="1">
      <alignment horizontal="right" vertical="center" wrapText="1"/>
    </xf>
    <xf numFmtId="0" fontId="10" fillId="5" borderId="44" xfId="0" applyFont="1" applyFill="1" applyBorder="1" applyAlignment="1">
      <alignment horizontal="right" vertical="center" wrapText="1"/>
    </xf>
    <xf numFmtId="3" fontId="9" fillId="5" borderId="42" xfId="0" applyNumberFormat="1" applyFont="1" applyFill="1" applyBorder="1" applyAlignment="1">
      <alignment horizontal="right" vertical="center" wrapText="1"/>
    </xf>
    <xf numFmtId="164" fontId="9" fillId="5" borderId="43" xfId="0" applyNumberFormat="1" applyFont="1" applyFill="1" applyBorder="1" applyAlignment="1">
      <alignment horizontal="right" vertical="center" wrapText="1"/>
    </xf>
    <xf numFmtId="164" fontId="12" fillId="5" borderId="43" xfId="0" applyNumberFormat="1" applyFont="1" applyFill="1" applyBorder="1" applyAlignment="1">
      <alignment horizontal="right" vertical="center" wrapText="1"/>
    </xf>
    <xf numFmtId="0" fontId="2" fillId="5" borderId="168" xfId="6" applyFont="1" applyFill="1" applyBorder="1"/>
    <xf numFmtId="49" fontId="21" fillId="5" borderId="169" xfId="0" applyNumberFormat="1" applyFont="1" applyFill="1" applyBorder="1" applyAlignment="1">
      <alignment horizontal="center" vertical="center" wrapText="1"/>
    </xf>
    <xf numFmtId="0" fontId="12" fillId="0" borderId="0" xfId="6" applyFont="1"/>
    <xf numFmtId="3" fontId="12" fillId="0" borderId="170" xfId="6" applyNumberFormat="1" applyFont="1" applyBorder="1"/>
    <xf numFmtId="3" fontId="12" fillId="0" borderId="0" xfId="6" applyNumberFormat="1" applyFont="1" applyAlignment="1">
      <alignment horizontal="right"/>
    </xf>
    <xf numFmtId="0" fontId="12" fillId="0" borderId="0" xfId="6" quotePrefix="1" applyFont="1"/>
    <xf numFmtId="0" fontId="22" fillId="0" borderId="0" xfId="0" applyFont="1" applyAlignment="1">
      <alignment vertical="center"/>
    </xf>
    <xf numFmtId="0" fontId="57" fillId="0" borderId="0" xfId="6" applyFont="1"/>
    <xf numFmtId="0" fontId="16" fillId="0" borderId="0" xfId="6" applyFont="1"/>
    <xf numFmtId="3" fontId="12" fillId="0" borderId="170" xfId="4" applyNumberFormat="1" applyFont="1" applyFill="1" applyBorder="1"/>
    <xf numFmtId="3" fontId="12" fillId="0" borderId="0" xfId="4" applyNumberFormat="1" applyFont="1" applyFill="1" applyBorder="1" applyAlignment="1">
      <alignment horizontal="right"/>
    </xf>
    <xf numFmtId="0" fontId="2" fillId="0" borderId="90" xfId="0" applyFont="1" applyBorder="1" applyAlignment="1">
      <alignment vertical="center"/>
    </xf>
    <xf numFmtId="49" fontId="21" fillId="5" borderId="172" xfId="0" applyNumberFormat="1" applyFont="1" applyFill="1" applyBorder="1" applyAlignment="1">
      <alignment horizontal="center" vertical="center" wrapText="1"/>
    </xf>
    <xf numFmtId="49" fontId="21" fillId="5" borderId="167" xfId="0" applyNumberFormat="1" applyFont="1" applyFill="1" applyBorder="1" applyAlignment="1">
      <alignment horizontal="center" vertical="center" wrapText="1"/>
    </xf>
    <xf numFmtId="164" fontId="5" fillId="5" borderId="40" xfId="0" applyNumberFormat="1" applyFont="1" applyFill="1" applyBorder="1" applyAlignment="1">
      <alignment horizontal="right" vertical="center" wrapText="1" indent="1"/>
    </xf>
    <xf numFmtId="164" fontId="2" fillId="5" borderId="41" xfId="0" applyNumberFormat="1" applyFont="1" applyFill="1" applyBorder="1" applyAlignment="1">
      <alignment horizontal="right" vertical="center" wrapText="1" indent="1"/>
    </xf>
    <xf numFmtId="164" fontId="5" fillId="5" borderId="41" xfId="0" applyNumberFormat="1" applyFont="1" applyFill="1" applyBorder="1" applyAlignment="1">
      <alignment horizontal="right" vertical="center" wrapText="1" indent="1"/>
    </xf>
    <xf numFmtId="0" fontId="21" fillId="5" borderId="45" xfId="0" applyFont="1" applyFill="1" applyBorder="1" applyAlignment="1">
      <alignment vertical="center" wrapText="1"/>
    </xf>
    <xf numFmtId="164" fontId="21" fillId="5" borderId="46" xfId="2" applyNumberFormat="1" applyFont="1" applyFill="1" applyBorder="1" applyAlignment="1">
      <alignment horizontal="right" vertical="center" wrapText="1" indent="1"/>
    </xf>
    <xf numFmtId="164" fontId="21" fillId="5" borderId="45" xfId="2" applyNumberFormat="1" applyFont="1" applyFill="1" applyBorder="1" applyAlignment="1">
      <alignment horizontal="right" vertical="center" wrapText="1" indent="1"/>
    </xf>
    <xf numFmtId="164" fontId="21" fillId="5" borderId="47" xfId="2" applyNumberFormat="1" applyFont="1" applyFill="1" applyBorder="1" applyAlignment="1">
      <alignment horizontal="right" vertical="center" wrapText="1" indent="1"/>
    </xf>
    <xf numFmtId="3" fontId="21" fillId="5" borderId="45" xfId="0" applyNumberFormat="1" applyFont="1" applyFill="1" applyBorder="1" applyAlignment="1">
      <alignment horizontal="right" vertical="center" wrapText="1" indent="1"/>
    </xf>
    <xf numFmtId="49" fontId="21" fillId="5" borderId="173" xfId="0" applyNumberFormat="1" applyFont="1" applyFill="1" applyBorder="1" applyAlignment="1">
      <alignment horizontal="center" vertical="center" wrapText="1"/>
    </xf>
    <xf numFmtId="3" fontId="74" fillId="0" borderId="174" xfId="4" applyNumberFormat="1" applyFont="1" applyFill="1" applyBorder="1"/>
    <xf numFmtId="3" fontId="74" fillId="0" borderId="174" xfId="6" applyNumberFormat="1" applyFont="1" applyBorder="1"/>
    <xf numFmtId="0" fontId="7" fillId="5" borderId="0" xfId="0" applyFont="1" applyFill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10" fillId="6" borderId="42" xfId="0" applyFont="1" applyFill="1" applyBorder="1" applyAlignment="1">
      <alignment vertical="top" wrapText="1"/>
    </xf>
    <xf numFmtId="0" fontId="10" fillId="4" borderId="42" xfId="0" applyFont="1" applyFill="1" applyBorder="1" applyAlignment="1">
      <alignment vertical="top" wrapText="1"/>
    </xf>
    <xf numFmtId="0" fontId="22" fillId="5" borderId="37" xfId="0" applyFont="1" applyFill="1" applyBorder="1" applyAlignment="1">
      <alignment horizontal="center" vertical="center" wrapText="1"/>
    </xf>
    <xf numFmtId="0" fontId="22" fillId="5" borderId="38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3" fontId="14" fillId="5" borderId="0" xfId="0" applyNumberFormat="1" applyFont="1" applyFill="1" applyAlignment="1">
      <alignment horizontal="center" vertical="center" wrapText="1"/>
    </xf>
    <xf numFmtId="3" fontId="10" fillId="6" borderId="42" xfId="0" applyNumberFormat="1" applyFont="1" applyFill="1" applyBorder="1" applyAlignment="1">
      <alignment horizontal="right" vertical="center" wrapText="1" indent="1"/>
    </xf>
    <xf numFmtId="3" fontId="10" fillId="4" borderId="42" xfId="0" applyNumberFormat="1" applyFont="1" applyFill="1" applyBorder="1" applyAlignment="1">
      <alignment horizontal="right" vertical="center" wrapText="1" indent="1"/>
    </xf>
    <xf numFmtId="0" fontId="5" fillId="5" borderId="0" xfId="0" applyFont="1" applyFill="1" applyAlignment="1">
      <alignment horizontal="left" vertical="center" wrapText="1" indent="2"/>
    </xf>
    <xf numFmtId="164" fontId="22" fillId="6" borderId="43" xfId="0" applyNumberFormat="1" applyFont="1" applyFill="1" applyBorder="1" applyAlignment="1">
      <alignment horizontal="right" vertical="center" wrapText="1" indent="1"/>
    </xf>
    <xf numFmtId="164" fontId="22" fillId="4" borderId="43" xfId="0" applyNumberFormat="1" applyFont="1" applyFill="1" applyBorder="1" applyAlignment="1">
      <alignment horizontal="right" vertical="center" wrapText="1" indent="1"/>
    </xf>
    <xf numFmtId="164" fontId="22" fillId="3" borderId="40" xfId="0" applyNumberFormat="1" applyFont="1" applyFill="1" applyBorder="1" applyAlignment="1">
      <alignment horizontal="right" vertical="center" wrapText="1" indent="1"/>
    </xf>
    <xf numFmtId="164" fontId="22" fillId="5" borderId="40" xfId="0" applyNumberFormat="1" applyFont="1" applyFill="1" applyBorder="1" applyAlignment="1">
      <alignment horizontal="right" vertical="center" wrapText="1" indent="1"/>
    </xf>
    <xf numFmtId="164" fontId="2" fillId="5" borderId="40" xfId="0" applyNumberFormat="1" applyFont="1" applyFill="1" applyBorder="1" applyAlignment="1">
      <alignment horizontal="right" vertical="center" wrapText="1" indent="1"/>
    </xf>
    <xf numFmtId="164" fontId="77" fillId="5" borderId="40" xfId="0" applyNumberFormat="1" applyFont="1" applyFill="1" applyBorder="1" applyAlignment="1">
      <alignment horizontal="right" vertical="center" wrapText="1" indent="1"/>
    </xf>
    <xf numFmtId="164" fontId="22" fillId="0" borderId="40" xfId="0" applyNumberFormat="1" applyFont="1" applyBorder="1" applyAlignment="1">
      <alignment horizontal="right" vertical="center" wrapText="1" indent="1"/>
    </xf>
    <xf numFmtId="164" fontId="2" fillId="0" borderId="98" xfId="0" applyNumberFormat="1" applyFont="1" applyBorder="1" applyAlignment="1">
      <alignment horizontal="right" vertical="center" wrapText="1" indent="1"/>
    </xf>
    <xf numFmtId="164" fontId="5" fillId="5" borderId="37" xfId="2" applyNumberFormat="1" applyFont="1" applyFill="1" applyBorder="1" applyAlignment="1">
      <alignment horizontal="right" vertical="center" wrapText="1" indent="1"/>
    </xf>
    <xf numFmtId="164" fontId="5" fillId="5" borderId="36" xfId="2" applyNumberFormat="1" applyFont="1" applyFill="1" applyBorder="1" applyAlignment="1">
      <alignment horizontal="right" vertical="center" wrapText="1" indent="1"/>
    </xf>
    <xf numFmtId="164" fontId="5" fillId="5" borderId="38" xfId="2" applyNumberFormat="1" applyFont="1" applyFill="1" applyBorder="1" applyAlignment="1">
      <alignment horizontal="right" vertical="center" wrapText="1" indent="1"/>
    </xf>
    <xf numFmtId="0" fontId="7" fillId="0" borderId="0" xfId="0" applyFont="1" applyAlignment="1">
      <alignment wrapText="1"/>
    </xf>
    <xf numFmtId="164" fontId="76" fillId="4" borderId="43" xfId="0" applyNumberFormat="1" applyFont="1" applyFill="1" applyBorder="1" applyAlignment="1">
      <alignment horizontal="right" vertical="center" wrapText="1" indent="1"/>
    </xf>
    <xf numFmtId="3" fontId="10" fillId="3" borderId="0" xfId="0" applyNumberFormat="1" applyFont="1" applyFill="1" applyAlignment="1">
      <alignment horizontal="right" vertical="center" wrapText="1" indent="1"/>
    </xf>
    <xf numFmtId="3" fontId="9" fillId="5" borderId="90" xfId="0" applyNumberFormat="1" applyFont="1" applyFill="1" applyBorder="1" applyAlignment="1">
      <alignment horizontal="right" vertical="center" wrapText="1" indent="1"/>
    </xf>
    <xf numFmtId="1" fontId="10" fillId="3" borderId="41" xfId="0" applyNumberFormat="1" applyFont="1" applyFill="1" applyBorder="1" applyAlignment="1">
      <alignment horizontal="right" vertical="center" wrapText="1"/>
    </xf>
    <xf numFmtId="165" fontId="10" fillId="3" borderId="41" xfId="0" applyNumberFormat="1" applyFont="1" applyFill="1" applyBorder="1" applyAlignment="1">
      <alignment horizontal="right" vertical="center" wrapText="1"/>
    </xf>
    <xf numFmtId="165" fontId="9" fillId="3" borderId="44" xfId="0" applyNumberFormat="1" applyFont="1" applyFill="1" applyBorder="1" applyAlignment="1">
      <alignment horizontal="right" vertical="center" wrapText="1"/>
    </xf>
    <xf numFmtId="1" fontId="10" fillId="3" borderId="47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164" fontId="10" fillId="0" borderId="56" xfId="0" applyNumberFormat="1" applyFont="1" applyBorder="1" applyAlignment="1">
      <alignment horizontal="right" vertical="center" wrapText="1"/>
    </xf>
    <xf numFmtId="0" fontId="56" fillId="5" borderId="0" xfId="0" applyFont="1" applyFill="1" applyAlignment="1">
      <alignment horizontal="left" vertical="center" wrapText="1"/>
    </xf>
    <xf numFmtId="164" fontId="16" fillId="5" borderId="56" xfId="0" applyNumberFormat="1" applyFont="1" applyFill="1" applyBorder="1" applyAlignment="1">
      <alignment horizontal="right" vertical="center" wrapText="1"/>
    </xf>
    <xf numFmtId="164" fontId="9" fillId="5" borderId="8" xfId="0" applyNumberFormat="1" applyFont="1" applyFill="1" applyBorder="1" applyAlignment="1">
      <alignment horizontal="right" vertical="center" wrapText="1" indent="1"/>
    </xf>
    <xf numFmtId="164" fontId="10" fillId="5" borderId="113" xfId="0" applyNumberFormat="1" applyFont="1" applyFill="1" applyBorder="1" applyAlignment="1">
      <alignment horizontal="right" vertical="center" wrapText="1"/>
    </xf>
    <xf numFmtId="165" fontId="10" fillId="5" borderId="114" xfId="0" applyNumberFormat="1" applyFont="1" applyFill="1" applyBorder="1" applyAlignment="1">
      <alignment horizontal="right" vertical="center" wrapText="1"/>
    </xf>
    <xf numFmtId="0" fontId="56" fillId="5" borderId="21" xfId="0" applyFont="1" applyFill="1" applyBorder="1" applyAlignment="1">
      <alignment horizontal="left" vertical="center" wrapText="1"/>
    </xf>
    <xf numFmtId="0" fontId="9" fillId="5" borderId="161" xfId="0" applyFont="1" applyFill="1" applyBorder="1" applyAlignment="1">
      <alignment horizontal="left" vertical="center" wrapText="1" indent="1"/>
    </xf>
    <xf numFmtId="164" fontId="9" fillId="5" borderId="74" xfId="0" applyNumberFormat="1" applyFont="1" applyFill="1" applyBorder="1" applyAlignment="1">
      <alignment horizontal="right" vertical="center" wrapText="1" indent="1"/>
    </xf>
    <xf numFmtId="1" fontId="9" fillId="5" borderId="8" xfId="0" applyNumberFormat="1" applyFont="1" applyFill="1" applyBorder="1" applyAlignment="1">
      <alignment horizontal="right" vertical="center" wrapText="1" indent="1"/>
    </xf>
    <xf numFmtId="1" fontId="9" fillId="5" borderId="2" xfId="0" applyNumberFormat="1" applyFont="1" applyFill="1" applyBorder="1" applyAlignment="1">
      <alignment horizontal="right" vertical="center" wrapText="1" indent="1"/>
    </xf>
    <xf numFmtId="1" fontId="9" fillId="5" borderId="0" xfId="0" applyNumberFormat="1" applyFont="1" applyFill="1" applyAlignment="1">
      <alignment horizontal="right" vertical="center" wrapText="1" indent="1"/>
    </xf>
    <xf numFmtId="164" fontId="9" fillId="5" borderId="75" xfId="0" applyNumberFormat="1" applyFont="1" applyFill="1" applyBorder="1" applyAlignment="1">
      <alignment horizontal="right" vertical="center" wrapText="1" indent="1"/>
    </xf>
    <xf numFmtId="164" fontId="10" fillId="5" borderId="76" xfId="0" applyNumberFormat="1" applyFont="1" applyFill="1" applyBorder="1" applyAlignment="1">
      <alignment horizontal="right" vertical="center" wrapText="1" indent="1"/>
    </xf>
    <xf numFmtId="0" fontId="5" fillId="5" borderId="12" xfId="0" applyFont="1" applyFill="1" applyBorder="1" applyAlignment="1">
      <alignment vertical="center" wrapText="1"/>
    </xf>
    <xf numFmtId="0" fontId="9" fillId="5" borderId="0" xfId="0" applyFont="1" applyFill="1" applyAlignment="1">
      <alignment horizontal="right" vertical="center" wrapText="1" indent="1"/>
    </xf>
    <xf numFmtId="0" fontId="5" fillId="5" borderId="12" xfId="0" applyFont="1" applyFill="1" applyBorder="1" applyAlignment="1">
      <alignment horizontal="left" vertical="center" wrapText="1"/>
    </xf>
    <xf numFmtId="0" fontId="10" fillId="5" borderId="178" xfId="0" applyFont="1" applyFill="1" applyBorder="1" applyAlignment="1">
      <alignment horizontal="left" vertical="center" wrapText="1"/>
    </xf>
    <xf numFmtId="3" fontId="10" fillId="5" borderId="45" xfId="0" applyNumberFormat="1" applyFont="1" applyFill="1" applyBorder="1" applyAlignment="1">
      <alignment horizontal="right" vertical="center" wrapText="1" indent="1"/>
    </xf>
    <xf numFmtId="14" fontId="80" fillId="5" borderId="177" xfId="0" applyNumberFormat="1" applyFont="1" applyFill="1" applyBorder="1" applyAlignment="1">
      <alignment horizontal="left" vertical="center" wrapText="1"/>
    </xf>
    <xf numFmtId="0" fontId="14" fillId="5" borderId="176" xfId="0" applyFont="1" applyFill="1" applyBorder="1" applyAlignment="1">
      <alignment horizontal="right" vertical="center" wrapText="1" indent="1"/>
    </xf>
    <xf numFmtId="14" fontId="80" fillId="5" borderId="179" xfId="0" applyNumberFormat="1" applyFont="1" applyFill="1" applyBorder="1" applyAlignment="1">
      <alignment horizontal="left" vertical="center" wrapText="1"/>
    </xf>
    <xf numFmtId="0" fontId="14" fillId="5" borderId="119" xfId="0" applyFont="1" applyFill="1" applyBorder="1" applyAlignment="1">
      <alignment horizontal="right" vertical="center" wrapText="1" indent="1"/>
    </xf>
    <xf numFmtId="0" fontId="10" fillId="5" borderId="180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center" wrapText="1"/>
    </xf>
    <xf numFmtId="49" fontId="76" fillId="5" borderId="28" xfId="7" applyNumberFormat="1" applyFont="1" applyFill="1" applyBorder="1" applyAlignment="1">
      <alignment vertical="center" wrapText="1"/>
    </xf>
    <xf numFmtId="49" fontId="77" fillId="5" borderId="0" xfId="7" applyNumberFormat="1" applyFont="1" applyFill="1" applyAlignment="1">
      <alignment vertical="center" wrapText="1"/>
    </xf>
    <xf numFmtId="49" fontId="77" fillId="5" borderId="27" xfId="7" applyNumberFormat="1" applyFont="1" applyFill="1" applyBorder="1" applyAlignment="1">
      <alignment vertical="center" wrapText="1"/>
    </xf>
    <xf numFmtId="49" fontId="77" fillId="5" borderId="90" xfId="7" applyNumberFormat="1" applyFont="1" applyFill="1" applyBorder="1" applyAlignment="1">
      <alignment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vertical="top" wrapText="1"/>
    </xf>
    <xf numFmtId="0" fontId="22" fillId="3" borderId="12" xfId="0" applyFont="1" applyFill="1" applyBorder="1" applyAlignment="1">
      <alignment horizontal="right" vertical="center" wrapText="1" indent="1"/>
    </xf>
    <xf numFmtId="0" fontId="22" fillId="5" borderId="0" xfId="0" applyFont="1" applyFill="1" applyAlignment="1">
      <alignment horizontal="right" vertical="center" wrapText="1" indent="1"/>
    </xf>
    <xf numFmtId="0" fontId="2" fillId="5" borderId="0" xfId="0" applyFont="1" applyFill="1" applyAlignment="1">
      <alignment vertical="top" wrapText="1"/>
    </xf>
    <xf numFmtId="165" fontId="2" fillId="3" borderId="12" xfId="0" applyNumberFormat="1" applyFont="1" applyFill="1" applyBorder="1" applyAlignment="1">
      <alignment horizontal="right" vertical="center" wrapText="1" indent="1"/>
    </xf>
    <xf numFmtId="1" fontId="2" fillId="5" borderId="0" xfId="0" applyNumberFormat="1" applyFont="1" applyFill="1" applyAlignment="1">
      <alignment horizontal="right" vertical="center" wrapText="1" indent="1"/>
    </xf>
    <xf numFmtId="164" fontId="22" fillId="5" borderId="20" xfId="0" applyNumberFormat="1" applyFont="1" applyFill="1" applyBorder="1" applyAlignment="1">
      <alignment horizontal="right" vertical="center" wrapText="1" indent="1"/>
    </xf>
    <xf numFmtId="1" fontId="22" fillId="3" borderId="12" xfId="0" applyNumberFormat="1" applyFont="1" applyFill="1" applyBorder="1" applyAlignment="1">
      <alignment horizontal="right" vertical="center" wrapText="1" indent="1"/>
    </xf>
    <xf numFmtId="164" fontId="2" fillId="5" borderId="20" xfId="0" applyNumberFormat="1" applyFont="1" applyFill="1" applyBorder="1" applyAlignment="1">
      <alignment horizontal="right" vertical="center" wrapText="1" indent="1"/>
    </xf>
    <xf numFmtId="0" fontId="2" fillId="3" borderId="12" xfId="0" applyFont="1" applyFill="1" applyBorder="1" applyAlignment="1">
      <alignment horizontal="right" vertical="center" wrapText="1" indent="1"/>
    </xf>
    <xf numFmtId="0" fontId="5" fillId="3" borderId="12" xfId="0" applyFont="1" applyFill="1" applyBorder="1" applyAlignment="1">
      <alignment horizontal="right" vertical="center" wrapText="1" indent="1"/>
    </xf>
    <xf numFmtId="0" fontId="22" fillId="5" borderId="14" xfId="0" applyFont="1" applyFill="1" applyBorder="1" applyAlignment="1">
      <alignment vertical="top" wrapText="1"/>
    </xf>
    <xf numFmtId="164" fontId="22" fillId="5" borderId="63" xfId="0" applyNumberFormat="1" applyFont="1" applyFill="1" applyBorder="1" applyAlignment="1">
      <alignment horizontal="right" vertical="center" wrapText="1" indent="1"/>
    </xf>
    <xf numFmtId="0" fontId="22" fillId="3" borderId="13" xfId="0" applyFont="1" applyFill="1" applyBorder="1" applyAlignment="1">
      <alignment horizontal="right" vertical="center" wrapText="1" indent="1"/>
    </xf>
    <xf numFmtId="0" fontId="22" fillId="5" borderId="16" xfId="0" applyFont="1" applyFill="1" applyBorder="1" applyAlignment="1">
      <alignment vertical="top" wrapText="1"/>
    </xf>
    <xf numFmtId="164" fontId="22" fillId="5" borderId="33" xfId="0" applyNumberFormat="1" applyFont="1" applyFill="1" applyBorder="1" applyAlignment="1">
      <alignment horizontal="right" vertical="center" wrapText="1" indent="1"/>
    </xf>
    <xf numFmtId="0" fontId="22" fillId="3" borderId="15" xfId="0" applyFont="1" applyFill="1" applyBorder="1" applyAlignment="1">
      <alignment horizontal="right" vertical="center" wrapText="1" indent="1"/>
    </xf>
    <xf numFmtId="1" fontId="22" fillId="5" borderId="0" xfId="0" applyNumberFormat="1" applyFont="1" applyFill="1" applyAlignment="1">
      <alignment horizontal="right" vertical="center" wrapText="1" indent="1"/>
    </xf>
    <xf numFmtId="1" fontId="22" fillId="5" borderId="14" xfId="0" applyNumberFormat="1" applyFont="1" applyFill="1" applyBorder="1" applyAlignment="1">
      <alignment horizontal="right" vertical="center" wrapText="1" indent="1"/>
    </xf>
    <xf numFmtId="3" fontId="9" fillId="5" borderId="56" xfId="0" applyNumberFormat="1" applyFont="1" applyFill="1" applyBorder="1" applyAlignment="1">
      <alignment horizontal="right" vertical="center" wrapText="1" indent="1"/>
    </xf>
    <xf numFmtId="0" fontId="10" fillId="0" borderId="42" xfId="0" applyFont="1" applyBorder="1" applyAlignment="1">
      <alignment vertical="center" wrapText="1"/>
    </xf>
    <xf numFmtId="164" fontId="10" fillId="0" borderId="181" xfId="0" applyNumberFormat="1" applyFont="1" applyBorder="1" applyAlignment="1">
      <alignment horizontal="right" vertical="center" wrapText="1" indent="1"/>
    </xf>
    <xf numFmtId="3" fontId="10" fillId="0" borderId="42" xfId="0" applyNumberFormat="1" applyFont="1" applyBorder="1" applyAlignment="1">
      <alignment horizontal="right" vertical="center" wrapText="1" indent="1"/>
    </xf>
    <xf numFmtId="165" fontId="10" fillId="3" borderId="182" xfId="0" applyNumberFormat="1" applyFont="1" applyFill="1" applyBorder="1" applyAlignment="1">
      <alignment horizontal="right" vertical="center" wrapText="1" indent="1"/>
    </xf>
    <xf numFmtId="165" fontId="9" fillId="3" borderId="161" xfId="0" applyNumberFormat="1" applyFont="1" applyFill="1" applyBorder="1" applyAlignment="1">
      <alignment horizontal="right" vertical="center" wrapText="1" indent="1"/>
    </xf>
    <xf numFmtId="0" fontId="76" fillId="5" borderId="87" xfId="7" applyFont="1" applyFill="1" applyBorder="1" applyAlignment="1">
      <alignment vertical="center" wrapText="1"/>
    </xf>
    <xf numFmtId="164" fontId="22" fillId="5" borderId="93" xfId="7" applyNumberFormat="1" applyFont="1" applyFill="1" applyBorder="1" applyAlignment="1">
      <alignment horizontal="right" vertical="center" wrapText="1" indent="1"/>
    </xf>
    <xf numFmtId="164" fontId="22" fillId="5" borderId="87" xfId="7" applyNumberFormat="1" applyFont="1" applyFill="1" applyBorder="1" applyAlignment="1">
      <alignment horizontal="right" vertical="center" wrapText="1" indent="1"/>
    </xf>
    <xf numFmtId="164" fontId="22" fillId="3" borderId="87" xfId="7" applyNumberFormat="1" applyFont="1" applyFill="1" applyBorder="1" applyAlignment="1">
      <alignment horizontal="right" vertical="center" wrapText="1" indent="1"/>
    </xf>
    <xf numFmtId="164" fontId="22" fillId="3" borderId="80" xfId="7" applyNumberFormat="1" applyFont="1" applyFill="1" applyBorder="1" applyAlignment="1">
      <alignment horizontal="right" vertical="center" wrapText="1" indent="1"/>
    </xf>
    <xf numFmtId="164" fontId="2" fillId="5" borderId="40" xfId="7" applyNumberFormat="1" applyFont="1" applyFill="1" applyBorder="1" applyAlignment="1">
      <alignment horizontal="right" vertical="center" wrapText="1" indent="1"/>
    </xf>
    <xf numFmtId="164" fontId="2" fillId="5" borderId="0" xfId="7" applyNumberFormat="1" applyFont="1" applyFill="1" applyAlignment="1">
      <alignment horizontal="right" vertical="center" wrapText="1" indent="1"/>
    </xf>
    <xf numFmtId="164" fontId="2" fillId="3" borderId="0" xfId="7" applyNumberFormat="1" applyFont="1" applyFill="1" applyAlignment="1">
      <alignment horizontal="right" vertical="center" wrapText="1" indent="1"/>
    </xf>
    <xf numFmtId="164" fontId="2" fillId="3" borderId="41" xfId="7" applyNumberFormat="1" applyFont="1" applyFill="1" applyBorder="1" applyAlignment="1">
      <alignment horizontal="right" vertical="center" wrapText="1" indent="1"/>
    </xf>
    <xf numFmtId="49" fontId="77" fillId="5" borderId="36" xfId="7" applyNumberFormat="1" applyFont="1" applyFill="1" applyBorder="1" applyAlignment="1">
      <alignment vertical="center" wrapText="1"/>
    </xf>
    <xf numFmtId="164" fontId="2" fillId="5" borderId="37" xfId="7" applyNumberFormat="1" applyFont="1" applyFill="1" applyBorder="1" applyAlignment="1">
      <alignment horizontal="right" vertical="center" wrapText="1" indent="1"/>
    </xf>
    <xf numFmtId="164" fontId="2" fillId="5" borderId="36" xfId="7" applyNumberFormat="1" applyFont="1" applyFill="1" applyBorder="1" applyAlignment="1">
      <alignment horizontal="right" vertical="center" wrapText="1" indent="1"/>
    </xf>
    <xf numFmtId="49" fontId="76" fillId="5" borderId="80" xfId="7" applyNumberFormat="1" applyFont="1" applyFill="1" applyBorder="1" applyAlignment="1">
      <alignment vertical="center" wrapText="1"/>
    </xf>
    <xf numFmtId="49" fontId="77" fillId="5" borderId="41" xfId="7" applyNumberFormat="1" applyFont="1" applyFill="1" applyBorder="1" applyAlignment="1">
      <alignment vertical="center" wrapText="1"/>
    </xf>
    <xf numFmtId="164" fontId="77" fillId="5" borderId="0" xfId="7" applyNumberFormat="1" applyFont="1" applyFill="1" applyAlignment="1">
      <alignment horizontal="right" vertical="center" wrapText="1" indent="1"/>
    </xf>
    <xf numFmtId="49" fontId="77" fillId="5" borderId="38" xfId="7" applyNumberFormat="1" applyFont="1" applyFill="1" applyBorder="1" applyAlignment="1">
      <alignment vertical="center" wrapText="1"/>
    </xf>
    <xf numFmtId="164" fontId="77" fillId="5" borderId="37" xfId="7" applyNumberFormat="1" applyFont="1" applyFill="1" applyBorder="1" applyAlignment="1">
      <alignment horizontal="right" vertical="center" wrapText="1" indent="1"/>
    </xf>
    <xf numFmtId="164" fontId="77" fillId="5" borderId="36" xfId="7" applyNumberFormat="1" applyFont="1" applyFill="1" applyBorder="1" applyAlignment="1">
      <alignment horizontal="right" vertical="center" wrapText="1" indent="1"/>
    </xf>
    <xf numFmtId="49" fontId="76" fillId="5" borderId="87" xfId="7" applyNumberFormat="1" applyFont="1" applyFill="1" applyBorder="1" applyAlignment="1">
      <alignment vertical="center" wrapText="1"/>
    </xf>
    <xf numFmtId="164" fontId="12" fillId="5" borderId="98" xfId="7" applyNumberFormat="1" applyFont="1" applyFill="1" applyBorder="1" applyAlignment="1">
      <alignment horizontal="right" vertical="center" wrapText="1" indent="1"/>
    </xf>
    <xf numFmtId="164" fontId="12" fillId="5" borderId="90" xfId="7" applyNumberFormat="1" applyFont="1" applyFill="1" applyBorder="1" applyAlignment="1">
      <alignment horizontal="right" vertical="center" wrapText="1" indent="1"/>
    </xf>
    <xf numFmtId="164" fontId="2" fillId="3" borderId="99" xfId="7" applyNumberFormat="1" applyFont="1" applyFill="1" applyBorder="1" applyAlignment="1">
      <alignment horizontal="right" vertical="center" wrapText="1" indent="1"/>
    </xf>
    <xf numFmtId="164" fontId="10" fillId="5" borderId="45" xfId="2" applyNumberFormat="1" applyFont="1" applyFill="1" applyBorder="1" applyAlignment="1">
      <alignment horizontal="right" vertical="center" wrapText="1"/>
    </xf>
    <xf numFmtId="49" fontId="10" fillId="5" borderId="36" xfId="0" applyNumberFormat="1" applyFont="1" applyFill="1" applyBorder="1" applyAlignment="1">
      <alignment horizontal="right" vertical="center" wrapText="1"/>
    </xf>
    <xf numFmtId="3" fontId="22" fillId="5" borderId="16" xfId="0" applyNumberFormat="1" applyFont="1" applyFill="1" applyBorder="1" applyAlignment="1">
      <alignment horizontal="right" vertical="center" wrapText="1" indent="1"/>
    </xf>
    <xf numFmtId="0" fontId="1" fillId="0" borderId="0" xfId="1" applyFill="1"/>
    <xf numFmtId="0" fontId="3" fillId="0" borderId="0" xfId="0" applyFont="1" applyAlignment="1">
      <alignment horizontal="justify" vertical="center"/>
    </xf>
    <xf numFmtId="0" fontId="9" fillId="5" borderId="26" xfId="0" applyFont="1" applyFill="1" applyBorder="1" applyAlignment="1">
      <alignment horizontal="center" vertical="center" wrapText="1"/>
    </xf>
    <xf numFmtId="0" fontId="10" fillId="5" borderId="44" xfId="0" applyFont="1" applyFill="1" applyBorder="1" applyAlignment="1">
      <alignment vertical="center" wrapText="1"/>
    </xf>
    <xf numFmtId="0" fontId="9" fillId="5" borderId="111" xfId="0" applyFont="1" applyFill="1" applyBorder="1" applyAlignment="1">
      <alignment horizontal="center" vertical="center" wrapText="1"/>
    </xf>
    <xf numFmtId="0" fontId="9" fillId="5" borderId="112" xfId="0" applyFont="1" applyFill="1" applyBorder="1" applyAlignment="1">
      <alignment horizontal="center" vertical="center" wrapText="1"/>
    </xf>
    <xf numFmtId="0" fontId="9" fillId="5" borderId="115" xfId="0" applyFont="1" applyFill="1" applyBorder="1" applyAlignment="1">
      <alignment horizontal="center" vertical="center" wrapText="1"/>
    </xf>
    <xf numFmtId="3" fontId="57" fillId="5" borderId="0" xfId="0" applyNumberFormat="1" applyFont="1" applyFill="1" applyAlignment="1">
      <alignment horizontal="left" vertical="center" wrapText="1"/>
    </xf>
    <xf numFmtId="49" fontId="57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1" fillId="0" borderId="0" xfId="0" applyNumberFormat="1" applyFont="1" applyAlignment="1">
      <alignment horizontal="center" vertical="center"/>
    </xf>
    <xf numFmtId="3" fontId="9" fillId="5" borderId="57" xfId="0" applyNumberFormat="1" applyFont="1" applyFill="1" applyBorder="1" applyAlignment="1">
      <alignment horizontal="right" vertical="center" wrapText="1" indent="1"/>
    </xf>
    <xf numFmtId="0" fontId="5" fillId="5" borderId="168" xfId="0" applyFont="1" applyFill="1" applyBorder="1" applyAlignment="1">
      <alignment horizontal="center" vertical="center" wrapText="1"/>
    </xf>
    <xf numFmtId="4" fontId="82" fillId="0" borderId="0" xfId="0" applyNumberFormat="1" applyFont="1" applyAlignment="1">
      <alignment horizontal="right" vertical="center"/>
    </xf>
    <xf numFmtId="4" fontId="82" fillId="0" borderId="6" xfId="0" applyNumberFormat="1" applyFont="1" applyBorder="1" applyAlignment="1">
      <alignment horizontal="right" vertical="center"/>
    </xf>
    <xf numFmtId="4" fontId="82" fillId="0" borderId="165" xfId="0" applyNumberFormat="1" applyFont="1" applyBorder="1" applyAlignment="1">
      <alignment horizontal="right" vertical="center"/>
    </xf>
    <xf numFmtId="0" fontId="47" fillId="5" borderId="159" xfId="3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7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3" fontId="9" fillId="5" borderId="1" xfId="0" applyNumberFormat="1" applyFont="1" applyFill="1" applyBorder="1" applyAlignment="1">
      <alignment horizontal="right" vertical="center" wrapText="1" indent="1"/>
    </xf>
    <xf numFmtId="1" fontId="10" fillId="5" borderId="45" xfId="0" applyNumberFormat="1" applyFont="1" applyFill="1" applyBorder="1" applyAlignment="1">
      <alignment horizontal="right" vertical="center" wrapText="1" indent="1"/>
    </xf>
    <xf numFmtId="3" fontId="9" fillId="5" borderId="42" xfId="0" applyNumberFormat="1" applyFont="1" applyFill="1" applyBorder="1" applyAlignment="1">
      <alignment horizontal="right" vertical="center" wrapText="1" indent="1"/>
    </xf>
    <xf numFmtId="3" fontId="10" fillId="0" borderId="0" xfId="0" applyNumberFormat="1" applyFont="1" applyAlignment="1">
      <alignment horizontal="right" vertical="center" wrapText="1" indent="1"/>
    </xf>
    <xf numFmtId="3" fontId="72" fillId="5" borderId="0" xfId="0" applyNumberFormat="1" applyFont="1" applyFill="1" applyAlignment="1">
      <alignment horizontal="right" vertical="center" wrapText="1" indent="1"/>
    </xf>
    <xf numFmtId="3" fontId="73" fillId="5" borderId="66" xfId="0" applyNumberFormat="1" applyFont="1" applyFill="1" applyBorder="1" applyAlignment="1">
      <alignment horizontal="right" vertical="center" wrapText="1" indent="1"/>
    </xf>
    <xf numFmtId="1" fontId="73" fillId="5" borderId="57" xfId="0" applyNumberFormat="1" applyFont="1" applyFill="1" applyBorder="1" applyAlignment="1">
      <alignment horizontal="right" vertical="center" wrapText="1" indent="1"/>
    </xf>
    <xf numFmtId="3" fontId="9" fillId="5" borderId="0" xfId="2" applyNumberFormat="1" applyFont="1" applyFill="1" applyBorder="1" applyAlignment="1">
      <alignment horizontal="right" vertical="center" wrapText="1" indent="1"/>
    </xf>
    <xf numFmtId="3" fontId="10" fillId="5" borderId="21" xfId="2" applyNumberFormat="1" applyFont="1" applyFill="1" applyBorder="1" applyAlignment="1">
      <alignment horizontal="right" vertical="center" wrapText="1" indent="1"/>
    </xf>
    <xf numFmtId="0" fontId="83" fillId="0" borderId="0" xfId="0" applyFont="1"/>
    <xf numFmtId="0" fontId="16" fillId="3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3" fontId="12" fillId="5" borderId="0" xfId="0" applyNumberFormat="1" applyFont="1" applyFill="1" applyAlignment="1">
      <alignment horizontal="left" vertical="center" wrapText="1"/>
    </xf>
    <xf numFmtId="0" fontId="16" fillId="4" borderId="42" xfId="0" applyFont="1" applyFill="1" applyBorder="1" applyAlignment="1">
      <alignment horizontal="left" vertical="center" wrapText="1"/>
    </xf>
    <xf numFmtId="3" fontId="12" fillId="5" borderId="90" xfId="0" applyNumberFormat="1" applyFont="1" applyFill="1" applyBorder="1" applyAlignment="1">
      <alignment horizontal="left" vertical="center" wrapText="1"/>
    </xf>
    <xf numFmtId="168" fontId="2" fillId="3" borderId="6" xfId="0" applyNumberFormat="1" applyFont="1" applyFill="1" applyBorder="1"/>
    <xf numFmtId="168" fontId="2" fillId="3" borderId="0" xfId="0" applyNumberFormat="1" applyFont="1" applyFill="1"/>
    <xf numFmtId="0" fontId="2" fillId="0" borderId="6" xfId="0" applyFont="1" applyBorder="1"/>
    <xf numFmtId="169" fontId="2" fillId="0" borderId="0" xfId="0" applyNumberFormat="1" applyFont="1"/>
    <xf numFmtId="0" fontId="47" fillId="5" borderId="183" xfId="3" applyFont="1" applyFill="1" applyBorder="1" applyAlignment="1">
      <alignment horizontal="center" vertical="center" wrapText="1"/>
    </xf>
    <xf numFmtId="14" fontId="12" fillId="5" borderId="84" xfId="7" applyNumberFormat="1" applyFont="1" applyFill="1" applyBorder="1" applyAlignment="1">
      <alignment horizontal="center" vertical="center" wrapText="1"/>
    </xf>
    <xf numFmtId="0" fontId="12" fillId="5" borderId="85" xfId="7" applyFont="1" applyFill="1" applyBorder="1" applyAlignment="1">
      <alignment horizontal="center" vertical="center" wrapText="1"/>
    </xf>
    <xf numFmtId="0" fontId="12" fillId="5" borderId="92" xfId="7" applyFont="1" applyFill="1" applyBorder="1" applyAlignment="1">
      <alignment horizontal="center" vertical="center" wrapText="1"/>
    </xf>
    <xf numFmtId="14" fontId="12" fillId="5" borderId="85" xfId="7" applyNumberFormat="1" applyFont="1" applyFill="1" applyBorder="1" applyAlignment="1">
      <alignment horizontal="center" vertical="center" wrapText="1"/>
    </xf>
    <xf numFmtId="0" fontId="76" fillId="5" borderId="42" xfId="7" applyFont="1" applyFill="1" applyBorder="1" applyAlignment="1">
      <alignment vertical="center" wrapText="1"/>
    </xf>
    <xf numFmtId="164" fontId="22" fillId="5" borderId="43" xfId="7" applyNumberFormat="1" applyFont="1" applyFill="1" applyBorder="1" applyAlignment="1">
      <alignment horizontal="right" vertical="center" wrapText="1" indent="1"/>
    </xf>
    <xf numFmtId="164" fontId="22" fillId="5" borderId="42" xfId="7" applyNumberFormat="1" applyFont="1" applyFill="1" applyBorder="1" applyAlignment="1">
      <alignment horizontal="right" vertical="center" wrapText="1" indent="1"/>
    </xf>
    <xf numFmtId="164" fontId="22" fillId="3" borderId="44" xfId="7" applyNumberFormat="1" applyFont="1" applyFill="1" applyBorder="1" applyAlignment="1">
      <alignment horizontal="right" vertical="center" wrapText="1" indent="1"/>
    </xf>
    <xf numFmtId="164" fontId="22" fillId="3" borderId="42" xfId="7" applyNumberFormat="1" applyFont="1" applyFill="1" applyBorder="1" applyAlignment="1">
      <alignment horizontal="right" vertical="center" wrapText="1" indent="1"/>
    </xf>
    <xf numFmtId="49" fontId="76" fillId="5" borderId="0" xfId="7" applyNumberFormat="1" applyFont="1" applyFill="1" applyAlignment="1">
      <alignment horizontal="left" wrapText="1"/>
    </xf>
    <xf numFmtId="164" fontId="22" fillId="5" borderId="86" xfId="7" applyNumberFormat="1" applyFont="1" applyFill="1" applyBorder="1" applyAlignment="1">
      <alignment horizontal="right" vertical="center" wrapText="1" indent="1"/>
    </xf>
    <xf numFmtId="49" fontId="77" fillId="5" borderId="0" xfId="7" applyNumberFormat="1" applyFont="1" applyFill="1" applyAlignment="1">
      <alignment horizontal="left" vertical="center" wrapText="1"/>
    </xf>
    <xf numFmtId="164" fontId="2" fillId="5" borderId="88" xfId="7" applyNumberFormat="1" applyFont="1" applyFill="1" applyBorder="1" applyAlignment="1">
      <alignment horizontal="right" vertical="center" wrapText="1" indent="1"/>
    </xf>
    <xf numFmtId="49" fontId="85" fillId="5" borderId="0" xfId="7" applyNumberFormat="1" applyFont="1" applyFill="1" applyAlignment="1">
      <alignment horizontal="left" vertical="center" wrapText="1"/>
    </xf>
    <xf numFmtId="164" fontId="85" fillId="5" borderId="40" xfId="7" applyNumberFormat="1" applyFont="1" applyFill="1" applyBorder="1" applyAlignment="1">
      <alignment horizontal="right" vertical="center" wrapText="1" indent="1"/>
    </xf>
    <xf numFmtId="164" fontId="85" fillId="5" borderId="0" xfId="7" applyNumberFormat="1" applyFont="1" applyFill="1" applyAlignment="1">
      <alignment horizontal="right" vertical="center" wrapText="1" indent="1"/>
    </xf>
    <xf numFmtId="164" fontId="85" fillId="3" borderId="41" xfId="7" applyNumberFormat="1" applyFont="1" applyFill="1" applyBorder="1" applyAlignment="1">
      <alignment horizontal="right" vertical="center" wrapText="1" indent="1"/>
    </xf>
    <xf numFmtId="164" fontId="85" fillId="5" borderId="88" xfId="7" applyNumberFormat="1" applyFont="1" applyFill="1" applyBorder="1" applyAlignment="1">
      <alignment horizontal="right" vertical="center" wrapText="1" indent="1"/>
    </xf>
    <xf numFmtId="164" fontId="85" fillId="3" borderId="0" xfId="7" applyNumberFormat="1" applyFont="1" applyFill="1" applyAlignment="1">
      <alignment horizontal="right" vertical="center" wrapText="1" indent="1"/>
    </xf>
    <xf numFmtId="49" fontId="77" fillId="5" borderId="6" xfId="7" applyNumberFormat="1" applyFont="1" applyFill="1" applyBorder="1" applyAlignment="1">
      <alignment horizontal="left" vertical="center" wrapText="1"/>
    </xf>
    <xf numFmtId="164" fontId="2" fillId="5" borderId="94" xfId="7" applyNumberFormat="1" applyFont="1" applyFill="1" applyBorder="1" applyAlignment="1">
      <alignment horizontal="right" vertical="center" wrapText="1" indent="1"/>
    </xf>
    <xf numFmtId="164" fontId="2" fillId="5" borderId="6" xfId="7" applyNumberFormat="1" applyFont="1" applyFill="1" applyBorder="1" applyAlignment="1">
      <alignment horizontal="right" vertical="center" wrapText="1" indent="1"/>
    </xf>
    <xf numFmtId="164" fontId="2" fillId="3" borderId="95" xfId="7" applyNumberFormat="1" applyFont="1" applyFill="1" applyBorder="1" applyAlignment="1">
      <alignment horizontal="right" vertical="center" wrapText="1" indent="1"/>
    </xf>
    <xf numFmtId="164" fontId="2" fillId="5" borderId="89" xfId="7" applyNumberFormat="1" applyFont="1" applyFill="1" applyBorder="1" applyAlignment="1">
      <alignment horizontal="right" vertical="center" wrapText="1" indent="1"/>
    </xf>
    <xf numFmtId="164" fontId="2" fillId="3" borderId="6" xfId="7" applyNumberFormat="1" applyFont="1" applyFill="1" applyBorder="1" applyAlignment="1">
      <alignment horizontal="right" vertical="center" wrapText="1" indent="1"/>
    </xf>
    <xf numFmtId="49" fontId="76" fillId="5" borderId="8" xfId="7" applyNumberFormat="1" applyFont="1" applyFill="1" applyBorder="1" applyAlignment="1">
      <alignment horizontal="left" vertical="center" wrapText="1"/>
    </xf>
    <xf numFmtId="164" fontId="22" fillId="3" borderId="97" xfId="7" applyNumberFormat="1" applyFont="1" applyFill="1" applyBorder="1" applyAlignment="1">
      <alignment horizontal="right" vertical="center" wrapText="1" indent="1"/>
    </xf>
    <xf numFmtId="164" fontId="22" fillId="3" borderId="8" xfId="7" applyNumberFormat="1" applyFont="1" applyFill="1" applyBorder="1" applyAlignment="1">
      <alignment horizontal="right" vertical="center" wrapText="1" indent="1"/>
    </xf>
    <xf numFmtId="0" fontId="77" fillId="5" borderId="0" xfId="7" applyFont="1" applyFill="1" applyAlignment="1">
      <alignment horizontal="left" vertical="center" wrapText="1"/>
    </xf>
    <xf numFmtId="0" fontId="12" fillId="5" borderId="90" xfId="7" applyFont="1" applyFill="1" applyBorder="1" applyAlignment="1">
      <alignment horizontal="left" vertical="center" wrapText="1"/>
    </xf>
    <xf numFmtId="164" fontId="2" fillId="3" borderId="90" xfId="7" applyNumberFormat="1" applyFont="1" applyFill="1" applyBorder="1" applyAlignment="1">
      <alignment horizontal="right" vertical="center" wrapText="1" indent="1"/>
    </xf>
    <xf numFmtId="164" fontId="22" fillId="5" borderId="96" xfId="7" applyNumberFormat="1" applyFont="1" applyFill="1" applyBorder="1" applyAlignment="1">
      <alignment horizontal="right" vertical="center" wrapText="1" indent="1"/>
    </xf>
    <xf numFmtId="164" fontId="22" fillId="5" borderId="8" xfId="7" applyNumberFormat="1" applyFont="1" applyFill="1" applyBorder="1" applyAlignment="1">
      <alignment horizontal="right" vertical="center" wrapText="1" indent="1"/>
    </xf>
    <xf numFmtId="164" fontId="22" fillId="5" borderId="74" xfId="7" applyNumberFormat="1" applyFont="1" applyFill="1" applyBorder="1" applyAlignment="1">
      <alignment horizontal="right" vertical="center" wrapText="1" indent="1"/>
    </xf>
    <xf numFmtId="164" fontId="2" fillId="5" borderId="75" xfId="7" applyNumberFormat="1" applyFont="1" applyFill="1" applyBorder="1" applyAlignment="1">
      <alignment horizontal="right" vertical="center" wrapText="1" indent="1"/>
    </xf>
    <xf numFmtId="164" fontId="77" fillId="5" borderId="40" xfId="7" applyNumberFormat="1" applyFont="1" applyFill="1" applyBorder="1" applyAlignment="1">
      <alignment horizontal="right" vertical="center" wrapText="1" indent="1"/>
    </xf>
    <xf numFmtId="164" fontId="77" fillId="5" borderId="75" xfId="7" applyNumberFormat="1" applyFont="1" applyFill="1" applyBorder="1" applyAlignment="1">
      <alignment horizontal="right" vertical="center" wrapText="1" indent="1"/>
    </xf>
    <xf numFmtId="164" fontId="12" fillId="5" borderId="91" xfId="7" applyNumberFormat="1" applyFont="1" applyFill="1" applyBorder="1" applyAlignment="1">
      <alignment horizontal="right" vertical="center" wrapText="1" indent="1"/>
    </xf>
    <xf numFmtId="14" fontId="12" fillId="5" borderId="145" xfId="7" applyNumberFormat="1" applyFont="1" applyFill="1" applyBorder="1" applyAlignment="1">
      <alignment horizontal="center" vertical="center" wrapText="1"/>
    </xf>
    <xf numFmtId="0" fontId="12" fillId="5" borderId="146" xfId="7" applyFont="1" applyFill="1" applyBorder="1" applyAlignment="1">
      <alignment horizontal="center" vertical="center" wrapText="1"/>
    </xf>
    <xf numFmtId="0" fontId="12" fillId="5" borderId="147" xfId="7" applyFont="1" applyFill="1" applyBorder="1" applyAlignment="1">
      <alignment horizontal="center" vertical="center" wrapText="1"/>
    </xf>
    <xf numFmtId="14" fontId="12" fillId="5" borderId="146" xfId="7" applyNumberFormat="1" applyFont="1" applyFill="1" applyBorder="1" applyAlignment="1">
      <alignment horizontal="center" vertical="center" wrapText="1"/>
    </xf>
    <xf numFmtId="164" fontId="22" fillId="5" borderId="149" xfId="7" applyNumberFormat="1" applyFont="1" applyFill="1" applyBorder="1" applyAlignment="1">
      <alignment horizontal="right" vertical="center" wrapText="1" indent="1"/>
    </xf>
    <xf numFmtId="164" fontId="22" fillId="5" borderId="28" xfId="7" applyNumberFormat="1" applyFont="1" applyFill="1" applyBorder="1" applyAlignment="1">
      <alignment horizontal="right" vertical="center" wrapText="1" indent="1"/>
    </xf>
    <xf numFmtId="2" fontId="22" fillId="3" borderId="148" xfId="7" applyNumberFormat="1" applyFont="1" applyFill="1" applyBorder="1" applyAlignment="1">
      <alignment horizontal="right" vertical="center" wrapText="1" indent="1"/>
    </xf>
    <xf numFmtId="2" fontId="22" fillId="3" borderId="28" xfId="7" applyNumberFormat="1" applyFont="1" applyFill="1" applyBorder="1" applyAlignment="1">
      <alignment horizontal="right" vertical="center" wrapText="1" indent="1"/>
    </xf>
    <xf numFmtId="2" fontId="2" fillId="3" borderId="41" xfId="7" applyNumberFormat="1" applyFont="1" applyFill="1" applyBorder="1" applyAlignment="1">
      <alignment horizontal="right" vertical="center" wrapText="1" indent="1"/>
    </xf>
    <xf numFmtId="2" fontId="2" fillId="3" borderId="0" xfId="7" applyNumberFormat="1" applyFont="1" applyFill="1" applyAlignment="1">
      <alignment horizontal="right" vertical="center" wrapText="1" indent="1"/>
    </xf>
    <xf numFmtId="164" fontId="2" fillId="5" borderId="151" xfId="7" applyNumberFormat="1" applyFont="1" applyFill="1" applyBorder="1" applyAlignment="1">
      <alignment horizontal="right" vertical="center" wrapText="1" indent="1"/>
    </xf>
    <xf numFmtId="164" fontId="2" fillId="5" borderId="27" xfId="7" applyNumberFormat="1" applyFont="1" applyFill="1" applyBorder="1" applyAlignment="1">
      <alignment horizontal="right" vertical="center" wrapText="1" indent="1"/>
    </xf>
    <xf numFmtId="2" fontId="2" fillId="3" borderId="150" xfId="7" applyNumberFormat="1" applyFont="1" applyFill="1" applyBorder="1" applyAlignment="1">
      <alignment horizontal="right" vertical="center" wrapText="1" indent="1"/>
    </xf>
    <xf numFmtId="2" fontId="2" fillId="3" borderId="27" xfId="7" applyNumberFormat="1" applyFont="1" applyFill="1" applyBorder="1" applyAlignment="1">
      <alignment horizontal="right" vertical="center" wrapText="1" indent="1"/>
    </xf>
    <xf numFmtId="164" fontId="22" fillId="5" borderId="40" xfId="7" applyNumberFormat="1" applyFont="1" applyFill="1" applyBorder="1" applyAlignment="1">
      <alignment horizontal="right" vertical="center" wrapText="1" indent="1"/>
    </xf>
    <xf numFmtId="164" fontId="22" fillId="5" borderId="0" xfId="7" applyNumberFormat="1" applyFont="1" applyFill="1" applyAlignment="1">
      <alignment horizontal="right" vertical="center" wrapText="1" indent="1"/>
    </xf>
    <xf numFmtId="164" fontId="22" fillId="3" borderId="41" xfId="7" applyNumberFormat="1" applyFont="1" applyFill="1" applyBorder="1" applyAlignment="1">
      <alignment horizontal="right" vertical="center" wrapText="1" indent="1"/>
    </xf>
    <xf numFmtId="164" fontId="22" fillId="3" borderId="0" xfId="7" applyNumberFormat="1" applyFont="1" applyFill="1" applyAlignment="1">
      <alignment horizontal="right" vertical="center" wrapText="1" indent="1"/>
    </xf>
    <xf numFmtId="164" fontId="22" fillId="3" borderId="148" xfId="7" applyNumberFormat="1" applyFont="1" applyFill="1" applyBorder="1" applyAlignment="1">
      <alignment horizontal="right" vertical="center" wrapText="1" indent="1"/>
    </xf>
    <xf numFmtId="164" fontId="22" fillId="3" borderId="28" xfId="7" applyNumberFormat="1" applyFont="1" applyFill="1" applyBorder="1" applyAlignment="1">
      <alignment horizontal="right" vertical="center" wrapText="1" indent="1"/>
    </xf>
    <xf numFmtId="164" fontId="2" fillId="3" borderId="150" xfId="7" applyNumberFormat="1" applyFont="1" applyFill="1" applyBorder="1" applyAlignment="1">
      <alignment horizontal="right" vertical="center" wrapText="1" indent="1"/>
    </xf>
    <xf numFmtId="164" fontId="2" fillId="3" borderId="27" xfId="7" applyNumberFormat="1" applyFont="1" applyFill="1" applyBorder="1" applyAlignment="1">
      <alignment horizontal="right" vertical="center" wrapText="1" indent="1"/>
    </xf>
    <xf numFmtId="164" fontId="12" fillId="3" borderId="99" xfId="7" applyNumberFormat="1" applyFont="1" applyFill="1" applyBorder="1" applyAlignment="1">
      <alignment horizontal="right" vertical="center" wrapText="1" indent="1"/>
    </xf>
    <xf numFmtId="164" fontId="12" fillId="3" borderId="90" xfId="7" applyNumberFormat="1" applyFont="1" applyFill="1" applyBorder="1" applyAlignment="1">
      <alignment horizontal="right" vertical="center" wrapText="1" indent="1"/>
    </xf>
    <xf numFmtId="1" fontId="55" fillId="5" borderId="185" xfId="7" applyNumberFormat="1" applyFont="1" applyFill="1" applyBorder="1" applyAlignment="1">
      <alignment horizontal="right" vertical="center" wrapText="1" indent="1"/>
    </xf>
    <xf numFmtId="1" fontId="60" fillId="5" borderId="32" xfId="7" applyNumberFormat="1" applyFont="1" applyFill="1" applyBorder="1" applyAlignment="1">
      <alignment horizontal="right" vertical="center" wrapText="1" indent="1"/>
    </xf>
    <xf numFmtId="1" fontId="60" fillId="5" borderId="184" xfId="7" applyNumberFormat="1" applyFont="1" applyFill="1" applyBorder="1" applyAlignment="1">
      <alignment horizontal="right" vertical="center" wrapText="1" indent="1"/>
    </xf>
    <xf numFmtId="0" fontId="12" fillId="5" borderId="125" xfId="0" applyFont="1" applyFill="1" applyBorder="1" applyAlignment="1">
      <alignment horizontal="left" vertical="center" wrapText="1"/>
    </xf>
    <xf numFmtId="164" fontId="12" fillId="5" borderId="125" xfId="0" applyNumberFormat="1" applyFont="1" applyFill="1" applyBorder="1" applyAlignment="1">
      <alignment horizontal="left" vertical="center" wrapText="1" indent="1"/>
    </xf>
    <xf numFmtId="0" fontId="12" fillId="5" borderId="128" xfId="0" applyFont="1" applyFill="1" applyBorder="1" applyAlignment="1">
      <alignment horizontal="left" vertical="center" wrapText="1"/>
    </xf>
    <xf numFmtId="164" fontId="12" fillId="5" borderId="128" xfId="0" applyNumberFormat="1" applyFont="1" applyFill="1" applyBorder="1" applyAlignment="1">
      <alignment horizontal="left" vertical="center" wrapText="1" indent="1"/>
    </xf>
    <xf numFmtId="0" fontId="12" fillId="5" borderId="131" xfId="0" applyFont="1" applyFill="1" applyBorder="1" applyAlignment="1">
      <alignment horizontal="left" vertical="center" wrapText="1"/>
    </xf>
    <xf numFmtId="164" fontId="12" fillId="5" borderId="131" xfId="0" applyNumberFormat="1" applyFont="1" applyFill="1" applyBorder="1" applyAlignment="1">
      <alignment horizontal="left" vertical="center" wrapText="1" indent="1"/>
    </xf>
    <xf numFmtId="0" fontId="12" fillId="5" borderId="126" xfId="0" applyFont="1" applyFill="1" applyBorder="1" applyAlignment="1">
      <alignment horizontal="right" vertical="center" wrapText="1" indent="1"/>
    </xf>
    <xf numFmtId="0" fontId="12" fillId="5" borderId="129" xfId="0" applyFont="1" applyFill="1" applyBorder="1" applyAlignment="1">
      <alignment horizontal="right" vertical="center" wrapText="1" indent="1"/>
    </xf>
    <xf numFmtId="0" fontId="12" fillId="5" borderId="132" xfId="0" applyFont="1" applyFill="1" applyBorder="1" applyAlignment="1">
      <alignment horizontal="right" vertical="center" wrapText="1" indent="1"/>
    </xf>
    <xf numFmtId="3" fontId="16" fillId="5" borderId="134" xfId="0" applyNumberFormat="1" applyFont="1" applyFill="1" applyBorder="1" applyAlignment="1">
      <alignment horizontal="right" vertical="center" wrapText="1" indent="1"/>
    </xf>
    <xf numFmtId="164" fontId="55" fillId="5" borderId="40" xfId="0" applyNumberFormat="1" applyFont="1" applyFill="1" applyBorder="1" applyAlignment="1">
      <alignment horizontal="right" vertical="center" wrapText="1"/>
    </xf>
    <xf numFmtId="3" fontId="55" fillId="3" borderId="0" xfId="0" applyNumberFormat="1" applyFont="1" applyFill="1" applyAlignment="1">
      <alignment horizontal="right" vertical="center" wrapText="1"/>
    </xf>
    <xf numFmtId="164" fontId="55" fillId="5" borderId="0" xfId="0" applyNumberFormat="1" applyFont="1" applyFill="1" applyAlignment="1">
      <alignment horizontal="right" vertical="center" wrapText="1"/>
    </xf>
    <xf numFmtId="3" fontId="55" fillId="5" borderId="0" xfId="0" applyNumberFormat="1" applyFont="1" applyFill="1" applyAlignment="1">
      <alignment horizontal="right" vertical="center" wrapText="1"/>
    </xf>
    <xf numFmtId="3" fontId="55" fillId="3" borderId="41" xfId="0" applyNumberFormat="1" applyFont="1" applyFill="1" applyBorder="1" applyAlignment="1">
      <alignment horizontal="right" vertical="center" wrapText="1"/>
    </xf>
    <xf numFmtId="3" fontId="55" fillId="5" borderId="0" xfId="0" applyNumberFormat="1" applyFont="1" applyFill="1" applyAlignment="1">
      <alignment horizontal="right" vertical="center" wrapText="1" indent="1"/>
    </xf>
    <xf numFmtId="164" fontId="50" fillId="5" borderId="40" xfId="0" applyNumberFormat="1" applyFont="1" applyFill="1" applyBorder="1" applyAlignment="1">
      <alignment horizontal="right" vertical="center" wrapText="1" indent="1"/>
    </xf>
    <xf numFmtId="164" fontId="55" fillId="3" borderId="0" xfId="0" applyNumberFormat="1" applyFont="1" applyFill="1" applyAlignment="1">
      <alignment horizontal="right" vertical="center" wrapText="1" indent="1"/>
    </xf>
    <xf numFmtId="164" fontId="50" fillId="5" borderId="0" xfId="0" applyNumberFormat="1" applyFont="1" applyFill="1" applyAlignment="1">
      <alignment horizontal="right" vertical="center" wrapText="1" indent="1"/>
    </xf>
    <xf numFmtId="164" fontId="55" fillId="5" borderId="0" xfId="0" applyNumberFormat="1" applyFont="1" applyFill="1" applyAlignment="1">
      <alignment horizontal="right" vertical="center" wrapText="1" indent="1"/>
    </xf>
    <xf numFmtId="164" fontId="55" fillId="3" borderId="41" xfId="0" applyNumberFormat="1" applyFont="1" applyFill="1" applyBorder="1" applyAlignment="1">
      <alignment horizontal="right" vertical="center" wrapText="1" indent="1"/>
    </xf>
    <xf numFmtId="164" fontId="55" fillId="5" borderId="40" xfId="0" applyNumberFormat="1" applyFont="1" applyFill="1" applyBorder="1" applyAlignment="1">
      <alignment horizontal="right" vertical="center" wrapText="1" indent="1"/>
    </xf>
    <xf numFmtId="164" fontId="55" fillId="5" borderId="0" xfId="2" applyNumberFormat="1" applyFont="1" applyFill="1" applyBorder="1" applyAlignment="1">
      <alignment horizontal="right" vertical="center" wrapText="1" indent="1"/>
    </xf>
    <xf numFmtId="0" fontId="60" fillId="5" borderId="42" xfId="0" applyFont="1" applyFill="1" applyBorder="1" applyAlignment="1">
      <alignment vertical="center" wrapText="1"/>
    </xf>
    <xf numFmtId="164" fontId="60" fillId="5" borderId="43" xfId="0" applyNumberFormat="1" applyFont="1" applyFill="1" applyBorder="1" applyAlignment="1">
      <alignment horizontal="right" vertical="center" wrapText="1" indent="1"/>
    </xf>
    <xf numFmtId="164" fontId="60" fillId="3" borderId="42" xfId="0" applyNumberFormat="1" applyFont="1" applyFill="1" applyBorder="1" applyAlignment="1">
      <alignment horizontal="right" vertical="center" wrapText="1" indent="1"/>
    </xf>
    <xf numFmtId="164" fontId="60" fillId="5" borderId="42" xfId="0" applyNumberFormat="1" applyFont="1" applyFill="1" applyBorder="1" applyAlignment="1">
      <alignment horizontal="right" vertical="center" wrapText="1" indent="1"/>
    </xf>
    <xf numFmtId="164" fontId="60" fillId="3" borderId="44" xfId="0" applyNumberFormat="1" applyFont="1" applyFill="1" applyBorder="1" applyAlignment="1">
      <alignment horizontal="right" vertical="center" wrapText="1" indent="1"/>
    </xf>
    <xf numFmtId="3" fontId="60" fillId="5" borderId="42" xfId="0" applyNumberFormat="1" applyFont="1" applyFill="1" applyBorder="1" applyAlignment="1">
      <alignment horizontal="right" vertical="center" wrapText="1" indent="1"/>
    </xf>
    <xf numFmtId="164" fontId="60" fillId="5" borderId="40" xfId="0" applyNumberFormat="1" applyFont="1" applyFill="1" applyBorder="1" applyAlignment="1">
      <alignment horizontal="right" vertical="center" wrapText="1" indent="1"/>
    </xf>
    <xf numFmtId="164" fontId="60" fillId="5" borderId="0" xfId="0" applyNumberFormat="1" applyFont="1" applyFill="1" applyAlignment="1">
      <alignment horizontal="right" vertical="center" wrapText="1" indent="1"/>
    </xf>
    <xf numFmtId="0" fontId="60" fillId="5" borderId="45" xfId="0" applyFont="1" applyFill="1" applyBorder="1" applyAlignment="1">
      <alignment vertical="center" wrapText="1"/>
    </xf>
    <xf numFmtId="164" fontId="60" fillId="5" borderId="46" xfId="2" applyNumberFormat="1" applyFont="1" applyFill="1" applyBorder="1" applyAlignment="1">
      <alignment horizontal="right" vertical="center" wrapText="1" indent="1"/>
    </xf>
    <xf numFmtId="3" fontId="60" fillId="3" borderId="45" xfId="2" applyNumberFormat="1" applyFont="1" applyFill="1" applyBorder="1" applyAlignment="1">
      <alignment horizontal="right" vertical="center" wrapText="1" indent="1"/>
    </xf>
    <xf numFmtId="164" fontId="60" fillId="5" borderId="45" xfId="2" applyNumberFormat="1" applyFont="1" applyFill="1" applyBorder="1" applyAlignment="1">
      <alignment horizontal="right" vertical="center" wrapText="1" indent="1"/>
    </xf>
    <xf numFmtId="3" fontId="60" fillId="3" borderId="47" xfId="2" applyNumberFormat="1" applyFont="1" applyFill="1" applyBorder="1" applyAlignment="1">
      <alignment horizontal="right" vertical="center" wrapText="1" indent="1"/>
    </xf>
    <xf numFmtId="1" fontId="60" fillId="5" borderId="45" xfId="0" applyNumberFormat="1" applyFont="1" applyFill="1" applyBorder="1" applyAlignment="1">
      <alignment horizontal="right" vertical="center" wrapText="1" indent="1"/>
    </xf>
    <xf numFmtId="0" fontId="55" fillId="5" borderId="55" xfId="0" applyFont="1" applyFill="1" applyBorder="1" applyAlignment="1">
      <alignment horizontal="center" vertical="center" wrapText="1"/>
    </xf>
    <xf numFmtId="164" fontId="60" fillId="3" borderId="45" xfId="2" applyNumberFormat="1" applyFont="1" applyFill="1" applyBorder="1" applyAlignment="1">
      <alignment horizontal="right" vertical="center" wrapText="1" indent="1"/>
    </xf>
    <xf numFmtId="164" fontId="60" fillId="3" borderId="47" xfId="2" applyNumberFormat="1" applyFont="1" applyFill="1" applyBorder="1" applyAlignment="1">
      <alignment horizontal="right" vertical="center" wrapText="1" indent="1"/>
    </xf>
    <xf numFmtId="164" fontId="55" fillId="5" borderId="56" xfId="0" applyNumberFormat="1" applyFont="1" applyFill="1" applyBorder="1" applyAlignment="1">
      <alignment horizontal="right" vertical="center" wrapText="1"/>
    </xf>
    <xf numFmtId="3" fontId="55" fillId="3" borderId="49" xfId="0" applyNumberFormat="1" applyFont="1" applyFill="1" applyBorder="1" applyAlignment="1">
      <alignment horizontal="right" vertical="center" wrapText="1"/>
    </xf>
    <xf numFmtId="164" fontId="50" fillId="5" borderId="56" xfId="0" applyNumberFormat="1" applyFont="1" applyFill="1" applyBorder="1" applyAlignment="1">
      <alignment horizontal="right" vertical="center" wrapText="1"/>
    </xf>
    <xf numFmtId="164" fontId="55" fillId="3" borderId="0" xfId="0" applyNumberFormat="1" applyFont="1" applyFill="1" applyAlignment="1">
      <alignment horizontal="right" vertical="center" wrapText="1"/>
    </xf>
    <xf numFmtId="164" fontId="50" fillId="5" borderId="0" xfId="0" applyNumberFormat="1" applyFont="1" applyFill="1" applyAlignment="1">
      <alignment horizontal="right" vertical="center" wrapText="1"/>
    </xf>
    <xf numFmtId="164" fontId="55" fillId="3" borderId="49" xfId="0" applyNumberFormat="1" applyFont="1" applyFill="1" applyBorder="1" applyAlignment="1">
      <alignment horizontal="right" vertical="center" wrapText="1"/>
    </xf>
    <xf numFmtId="164" fontId="60" fillId="5" borderId="67" xfId="0" applyNumberFormat="1" applyFont="1" applyFill="1" applyBorder="1" applyAlignment="1">
      <alignment horizontal="right" vertical="center" wrapText="1"/>
    </xf>
    <xf numFmtId="164" fontId="60" fillId="3" borderId="66" xfId="0" applyNumberFormat="1" applyFont="1" applyFill="1" applyBorder="1" applyAlignment="1">
      <alignment horizontal="right" vertical="center" wrapText="1"/>
    </xf>
    <xf numFmtId="164" fontId="60" fillId="5" borderId="66" xfId="0" applyNumberFormat="1" applyFont="1" applyFill="1" applyBorder="1" applyAlignment="1">
      <alignment horizontal="right" vertical="center" wrapText="1"/>
    </xf>
    <xf numFmtId="164" fontId="60" fillId="3" borderId="68" xfId="0" applyNumberFormat="1" applyFont="1" applyFill="1" applyBorder="1" applyAlignment="1">
      <alignment horizontal="right" vertical="center" wrapText="1"/>
    </xf>
    <xf numFmtId="164" fontId="60" fillId="5" borderId="56" xfId="0" applyNumberFormat="1" applyFont="1" applyFill="1" applyBorder="1" applyAlignment="1">
      <alignment horizontal="right" vertical="center" wrapText="1"/>
    </xf>
    <xf numFmtId="164" fontId="60" fillId="5" borderId="0" xfId="0" applyNumberFormat="1" applyFont="1" applyFill="1" applyAlignment="1">
      <alignment horizontal="right" vertical="center" wrapText="1"/>
    </xf>
    <xf numFmtId="164" fontId="60" fillId="5" borderId="65" xfId="2" applyNumberFormat="1" applyFont="1" applyFill="1" applyBorder="1" applyAlignment="1">
      <alignment vertical="center" wrapText="1"/>
    </xf>
    <xf numFmtId="164" fontId="60" fillId="3" borderId="57" xfId="2" applyNumberFormat="1" applyFont="1" applyFill="1" applyBorder="1" applyAlignment="1">
      <alignment vertical="center" wrapText="1"/>
    </xf>
    <xf numFmtId="164" fontId="60" fillId="5" borderId="57" xfId="2" applyNumberFormat="1" applyFont="1" applyFill="1" applyBorder="1" applyAlignment="1">
      <alignment vertical="center" wrapText="1"/>
    </xf>
    <xf numFmtId="164" fontId="60" fillId="3" borderId="58" xfId="2" applyNumberFormat="1" applyFont="1" applyFill="1" applyBorder="1" applyAlignment="1">
      <alignment vertical="center" wrapText="1"/>
    </xf>
    <xf numFmtId="3" fontId="55" fillId="5" borderId="49" xfId="0" applyNumberFormat="1" applyFont="1" applyFill="1" applyBorder="1" applyAlignment="1">
      <alignment horizontal="right" vertical="center" wrapText="1"/>
    </xf>
    <xf numFmtId="164" fontId="55" fillId="5" borderId="49" xfId="0" applyNumberFormat="1" applyFont="1" applyFill="1" applyBorder="1" applyAlignment="1">
      <alignment horizontal="right" vertical="center" wrapText="1"/>
    </xf>
    <xf numFmtId="164" fontId="55" fillId="5" borderId="0" xfId="2" applyNumberFormat="1" applyFont="1" applyFill="1" applyBorder="1" applyAlignment="1">
      <alignment horizontal="right" vertical="center" wrapText="1"/>
    </xf>
    <xf numFmtId="0" fontId="60" fillId="5" borderId="57" xfId="0" applyFont="1" applyFill="1" applyBorder="1" applyAlignment="1">
      <alignment vertical="center" wrapText="1"/>
    </xf>
    <xf numFmtId="164" fontId="60" fillId="5" borderId="58" xfId="2" applyNumberFormat="1" applyFont="1" applyFill="1" applyBorder="1" applyAlignment="1">
      <alignment vertical="center" wrapText="1"/>
    </xf>
    <xf numFmtId="1" fontId="60" fillId="5" borderId="57" xfId="0" applyNumberFormat="1" applyFont="1" applyFill="1" applyBorder="1" applyAlignment="1">
      <alignment horizontal="right" vertical="center" wrapText="1" indent="1"/>
    </xf>
    <xf numFmtId="14" fontId="9" fillId="5" borderId="0" xfId="0" applyNumberFormat="1" applyFont="1" applyFill="1" applyAlignment="1">
      <alignment horizontal="center" vertical="center" wrapText="1"/>
    </xf>
    <xf numFmtId="164" fontId="9" fillId="5" borderId="12" xfId="0" applyNumberFormat="1" applyFont="1" applyFill="1" applyBorder="1" applyAlignment="1">
      <alignment horizontal="right" vertical="center" wrapText="1" indent="1"/>
    </xf>
    <xf numFmtId="0" fontId="10" fillId="5" borderId="21" xfId="0" applyFont="1" applyFill="1" applyBorder="1" applyAlignment="1">
      <alignment horizontal="right" vertical="center" wrapText="1" indent="1"/>
    </xf>
    <xf numFmtId="3" fontId="10" fillId="5" borderId="22" xfId="0" applyNumberFormat="1" applyFont="1" applyFill="1" applyBorder="1" applyAlignment="1">
      <alignment horizontal="right" vertical="center" wrapText="1" indent="1"/>
    </xf>
    <xf numFmtId="164" fontId="12" fillId="0" borderId="170" xfId="6" applyNumberFormat="1" applyFont="1" applyBorder="1" applyAlignment="1">
      <alignment horizontal="right" vertical="center" indent="1"/>
    </xf>
    <xf numFmtId="164" fontId="74" fillId="0" borderId="174" xfId="2" applyNumberFormat="1" applyFont="1" applyBorder="1" applyAlignment="1">
      <alignment horizontal="right" vertical="center" indent="1"/>
    </xf>
    <xf numFmtId="3" fontId="12" fillId="0" borderId="0" xfId="6" applyNumberFormat="1" applyFont="1" applyAlignment="1">
      <alignment horizontal="right" vertical="center" indent="1"/>
    </xf>
    <xf numFmtId="164" fontId="16" fillId="0" borderId="170" xfId="6" applyNumberFormat="1" applyFont="1" applyBorder="1" applyAlignment="1">
      <alignment horizontal="right" vertical="center" indent="1"/>
    </xf>
    <xf numFmtId="164" fontId="75" fillId="0" borderId="174" xfId="2" applyNumberFormat="1" applyFont="1" applyBorder="1" applyAlignment="1">
      <alignment horizontal="right" vertical="center" indent="1"/>
    </xf>
    <xf numFmtId="164" fontId="74" fillId="0" borderId="174" xfId="6" applyNumberFormat="1" applyFont="1" applyBorder="1" applyAlignment="1">
      <alignment horizontal="right" vertical="center" indent="1"/>
    </xf>
    <xf numFmtId="164" fontId="75" fillId="0" borderId="174" xfId="6" applyNumberFormat="1" applyFont="1" applyBorder="1" applyAlignment="1">
      <alignment horizontal="right" vertical="center" indent="1"/>
    </xf>
    <xf numFmtId="164" fontId="12" fillId="0" borderId="171" xfId="6" applyNumberFormat="1" applyFont="1" applyBorder="1" applyAlignment="1">
      <alignment horizontal="right" vertical="center" indent="1"/>
    </xf>
    <xf numFmtId="164" fontId="74" fillId="0" borderId="175" xfId="6" applyNumberFormat="1" applyFont="1" applyBorder="1" applyAlignment="1">
      <alignment horizontal="right" vertical="center" indent="1"/>
    </xf>
    <xf numFmtId="3" fontId="12" fillId="0" borderId="171" xfId="6" applyNumberFormat="1" applyFont="1" applyBorder="1" applyAlignment="1">
      <alignment horizontal="right" vertical="center" indent="1"/>
    </xf>
    <xf numFmtId="0" fontId="5" fillId="5" borderId="19" xfId="3" applyFont="1" applyFill="1" applyBorder="1" applyAlignment="1">
      <alignment horizontal="center" vertical="center" wrapText="1"/>
    </xf>
    <xf numFmtId="0" fontId="5" fillId="5" borderId="11" xfId="3" applyFont="1" applyFill="1" applyBorder="1" applyAlignment="1">
      <alignment horizontal="center" vertical="center" wrapText="1"/>
    </xf>
    <xf numFmtId="0" fontId="5" fillId="5" borderId="10" xfId="3" applyFont="1" applyFill="1" applyBorder="1" applyAlignment="1">
      <alignment horizontal="center" vertical="center" wrapText="1"/>
    </xf>
    <xf numFmtId="0" fontId="28" fillId="0" borderId="4" xfId="7" applyFont="1" applyBorder="1" applyAlignment="1">
      <alignment horizontal="center" vertical="center" wrapText="1"/>
    </xf>
    <xf numFmtId="0" fontId="32" fillId="0" borderId="5" xfId="14" applyFont="1" applyBorder="1" applyAlignment="1">
      <alignment horizontal="center" vertical="center"/>
    </xf>
    <xf numFmtId="0" fontId="23" fillId="0" borderId="0" xfId="7" applyAlignment="1">
      <alignment vertical="top" wrapText="1"/>
    </xf>
    <xf numFmtId="0" fontId="0" fillId="0" borderId="0" xfId="0" applyAlignment="1">
      <alignment vertical="top" wrapText="1"/>
    </xf>
    <xf numFmtId="0" fontId="10" fillId="5" borderId="0" xfId="0" applyFont="1" applyFill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49" fontId="10" fillId="5" borderId="26" xfId="0" applyNumberFormat="1" applyFont="1" applyFill="1" applyBorder="1" applyAlignment="1">
      <alignment horizontal="center" vertical="center" wrapText="1"/>
    </xf>
    <xf numFmtId="49" fontId="10" fillId="5" borderId="24" xfId="0" applyNumberFormat="1" applyFont="1" applyFill="1" applyBorder="1" applyAlignment="1">
      <alignment horizontal="center" vertical="center" wrapText="1"/>
    </xf>
    <xf numFmtId="49" fontId="10" fillId="5" borderId="25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49" fontId="10" fillId="5" borderId="59" xfId="0" applyNumberFormat="1" applyFont="1" applyFill="1" applyBorder="1" applyAlignment="1">
      <alignment horizontal="center" vertical="center" wrapText="1"/>
    </xf>
    <xf numFmtId="49" fontId="10" fillId="5" borderId="60" xfId="0" applyNumberFormat="1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55" fillId="5" borderId="0" xfId="0" applyFont="1" applyFill="1" applyAlignment="1">
      <alignment horizontal="center" vertical="center" wrapText="1"/>
    </xf>
    <xf numFmtId="0" fontId="50" fillId="5" borderId="36" xfId="0" applyFont="1" applyFill="1" applyBorder="1" applyAlignment="1">
      <alignment horizontal="center" vertical="center" wrapText="1"/>
    </xf>
    <xf numFmtId="0" fontId="60" fillId="5" borderId="0" xfId="0" applyFont="1" applyFill="1" applyAlignment="1">
      <alignment horizontal="center" vertical="center" wrapText="1"/>
    </xf>
    <xf numFmtId="0" fontId="61" fillId="5" borderId="36" xfId="0" applyFont="1" applyFill="1" applyBorder="1" applyAlignment="1">
      <alignment horizontal="center" vertical="center" wrapText="1"/>
    </xf>
    <xf numFmtId="49" fontId="60" fillId="5" borderId="59" xfId="0" applyNumberFormat="1" applyFont="1" applyFill="1" applyBorder="1" applyAlignment="1">
      <alignment horizontal="center" vertical="center" wrapText="1"/>
    </xf>
    <xf numFmtId="49" fontId="61" fillId="5" borderId="64" xfId="0" applyNumberFormat="1" applyFont="1" applyFill="1" applyBorder="1" applyAlignment="1">
      <alignment horizontal="center" vertical="center" wrapText="1"/>
    </xf>
    <xf numFmtId="49" fontId="61" fillId="5" borderId="60" xfId="0" applyNumberFormat="1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49" fontId="10" fillId="5" borderId="109" xfId="0" applyNumberFormat="1" applyFont="1" applyFill="1" applyBorder="1" applyAlignment="1">
      <alignment horizontal="center" vertical="center" wrapText="1"/>
    </xf>
    <xf numFmtId="49" fontId="10" fillId="5" borderId="110" xfId="0" applyNumberFormat="1" applyFont="1" applyFill="1" applyBorder="1" applyAlignment="1">
      <alignment horizontal="center" vertical="center" wrapText="1"/>
    </xf>
    <xf numFmtId="0" fontId="10" fillId="5" borderId="49" xfId="0" applyFont="1" applyFill="1" applyBorder="1" applyAlignment="1">
      <alignment horizontal="center" vertical="center" wrapText="1"/>
    </xf>
    <xf numFmtId="0" fontId="10" fillId="5" borderId="112" xfId="0" applyFont="1" applyFill="1" applyBorder="1" applyAlignment="1">
      <alignment horizontal="center" vertical="center" wrapText="1"/>
    </xf>
    <xf numFmtId="49" fontId="16" fillId="5" borderId="69" xfId="7" applyNumberFormat="1" applyFont="1" applyFill="1" applyBorder="1" applyAlignment="1">
      <alignment horizontal="center" vertical="center" wrapText="1"/>
    </xf>
    <xf numFmtId="49" fontId="16" fillId="5" borderId="70" xfId="7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9" fillId="5" borderId="77" xfId="0" applyFont="1" applyFill="1" applyBorder="1" applyAlignment="1">
      <alignment horizontal="center" vertical="center" wrapText="1"/>
    </xf>
    <xf numFmtId="0" fontId="12" fillId="5" borderId="77" xfId="0" applyFont="1" applyFill="1" applyBorder="1" applyAlignment="1">
      <alignment horizontal="center" vertical="center" wrapText="1"/>
    </xf>
    <xf numFmtId="0" fontId="12" fillId="5" borderId="78" xfId="0" applyFont="1" applyFill="1" applyBorder="1" applyAlignment="1">
      <alignment horizontal="center" vertical="center" wrapText="1"/>
    </xf>
    <xf numFmtId="0" fontId="46" fillId="7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60" fillId="5" borderId="52" xfId="0" applyNumberFormat="1" applyFont="1" applyFill="1" applyBorder="1" applyAlignment="1">
      <alignment horizontal="center" vertical="center" wrapText="1"/>
    </xf>
    <xf numFmtId="49" fontId="61" fillId="5" borderId="53" xfId="0" applyNumberFormat="1" applyFont="1" applyFill="1" applyBorder="1" applyAlignment="1">
      <alignment horizontal="center" vertical="center" wrapText="1"/>
    </xf>
    <xf numFmtId="49" fontId="61" fillId="5" borderId="54" xfId="0" applyNumberFormat="1" applyFont="1" applyFill="1" applyBorder="1" applyAlignment="1">
      <alignment horizontal="center" vertical="center" wrapText="1"/>
    </xf>
    <xf numFmtId="0" fontId="61" fillId="5" borderId="27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46" fillId="7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2" fillId="5" borderId="0" xfId="0" applyFont="1" applyFill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49" fontId="22" fillId="5" borderId="26" xfId="0" applyNumberFormat="1" applyFont="1" applyFill="1" applyBorder="1" applyAlignment="1">
      <alignment horizontal="center" vertical="center" wrapText="1"/>
    </xf>
    <xf numFmtId="49" fontId="22" fillId="5" borderId="25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62" fillId="0" borderId="79" xfId="0" applyFont="1" applyBorder="1" applyAlignment="1">
      <alignment horizontal="left" vertical="center" wrapText="1"/>
    </xf>
    <xf numFmtId="49" fontId="16" fillId="5" borderId="81" xfId="7" applyNumberFormat="1" applyFont="1" applyFill="1" applyBorder="1" applyAlignment="1">
      <alignment horizontal="center" vertical="center" wrapText="1"/>
    </xf>
    <xf numFmtId="49" fontId="16" fillId="5" borderId="82" xfId="7" applyNumberFormat="1" applyFont="1" applyFill="1" applyBorder="1" applyAlignment="1">
      <alignment horizontal="center" vertical="center" wrapText="1"/>
    </xf>
    <xf numFmtId="49" fontId="16" fillId="5" borderId="83" xfId="7" applyNumberFormat="1" applyFont="1" applyFill="1" applyBorder="1" applyAlignment="1">
      <alignment horizontal="center" vertical="center" wrapText="1"/>
    </xf>
    <xf numFmtId="0" fontId="16" fillId="5" borderId="87" xfId="7" applyFont="1" applyFill="1" applyBorder="1" applyAlignment="1">
      <alignment horizontal="center" vertical="center" wrapText="1"/>
    </xf>
    <xf numFmtId="0" fontId="16" fillId="5" borderId="36" xfId="7" applyFont="1" applyFill="1" applyBorder="1" applyAlignment="1">
      <alignment horizontal="center" vertical="center" wrapText="1"/>
    </xf>
    <xf numFmtId="0" fontId="64" fillId="0" borderId="79" xfId="7" applyFont="1" applyBorder="1"/>
    <xf numFmtId="0" fontId="0" fillId="0" borderId="79" xfId="0" applyBorder="1"/>
    <xf numFmtId="49" fontId="16" fillId="5" borderId="93" xfId="7" applyNumberFormat="1" applyFont="1" applyFill="1" applyBorder="1" applyAlignment="1">
      <alignment horizontal="center" vertical="center" wrapText="1"/>
    </xf>
    <xf numFmtId="49" fontId="12" fillId="5" borderId="87" xfId="7" applyNumberFormat="1" applyFont="1" applyFill="1" applyBorder="1" applyAlignment="1">
      <alignment horizontal="center" vertical="center" wrapText="1"/>
    </xf>
    <xf numFmtId="49" fontId="12" fillId="5" borderId="80" xfId="7" applyNumberFormat="1" applyFont="1" applyFill="1" applyBorder="1" applyAlignment="1">
      <alignment horizontal="center" vertical="center" wrapText="1"/>
    </xf>
    <xf numFmtId="49" fontId="16" fillId="5" borderId="87" xfId="7" applyNumberFormat="1" applyFont="1" applyFill="1" applyBorder="1" applyAlignment="1">
      <alignment horizontal="center" vertical="center" wrapText="1"/>
    </xf>
    <xf numFmtId="0" fontId="63" fillId="5" borderId="80" xfId="7" applyFont="1" applyFill="1" applyBorder="1" applyAlignment="1">
      <alignment horizontal="center" vertical="center" wrapText="1"/>
    </xf>
    <xf numFmtId="0" fontId="63" fillId="5" borderId="38" xfId="7" applyFont="1" applyFill="1" applyBorder="1" applyAlignment="1">
      <alignment horizontal="center" vertical="center" wrapText="1"/>
    </xf>
    <xf numFmtId="0" fontId="16" fillId="5" borderId="41" xfId="7" applyFont="1" applyFill="1" applyBorder="1" applyAlignment="1">
      <alignment horizontal="center" vertical="center" wrapText="1"/>
    </xf>
    <xf numFmtId="0" fontId="16" fillId="5" borderId="82" xfId="7" applyFont="1" applyFill="1" applyBorder="1" applyAlignment="1">
      <alignment horizontal="center" vertical="center" wrapText="1"/>
    </xf>
    <xf numFmtId="0" fontId="68" fillId="0" borderId="100" xfId="7" applyFont="1" applyBorder="1" applyAlignment="1">
      <alignment wrapText="1"/>
    </xf>
    <xf numFmtId="0" fontId="0" fillId="0" borderId="100" xfId="0" applyBorder="1"/>
    <xf numFmtId="0" fontId="21" fillId="5" borderId="12" xfId="3" applyFont="1" applyFill="1" applyBorder="1" applyAlignment="1">
      <alignment horizontal="center" vertical="center" wrapText="1"/>
    </xf>
    <xf numFmtId="0" fontId="21" fillId="5" borderId="10" xfId="3" applyFont="1" applyFill="1" applyBorder="1" applyAlignment="1">
      <alignment horizontal="center" vertical="center" wrapText="1"/>
    </xf>
    <xf numFmtId="0" fontId="5" fillId="5" borderId="18" xfId="3" applyFont="1" applyFill="1" applyBorder="1" applyAlignment="1">
      <alignment horizontal="center" vertical="center" wrapText="1"/>
    </xf>
    <xf numFmtId="0" fontId="5" fillId="5" borderId="29" xfId="3" applyFont="1" applyFill="1" applyBorder="1" applyAlignment="1">
      <alignment horizontal="center" vertical="center" wrapText="1"/>
    </xf>
    <xf numFmtId="49" fontId="21" fillId="5" borderId="26" xfId="3" applyNumberFormat="1" applyFont="1" applyFill="1" applyBorder="1" applyAlignment="1">
      <alignment horizontal="center" vertical="center" wrapText="1"/>
    </xf>
    <xf numFmtId="49" fontId="21" fillId="5" borderId="24" xfId="3" applyNumberFormat="1" applyFont="1" applyFill="1" applyBorder="1" applyAlignment="1">
      <alignment horizontal="center" vertical="center" wrapText="1"/>
    </xf>
    <xf numFmtId="49" fontId="21" fillId="5" borderId="25" xfId="3" applyNumberFormat="1" applyFont="1" applyFill="1" applyBorder="1" applyAlignment="1">
      <alignment horizontal="center" vertical="center" wrapText="1"/>
    </xf>
    <xf numFmtId="0" fontId="5" fillId="5" borderId="17" xfId="3" applyFont="1" applyFill="1" applyBorder="1" applyAlignment="1">
      <alignment horizontal="center" vertical="center" wrapText="1"/>
    </xf>
    <xf numFmtId="0" fontId="68" fillId="0" borderId="100" xfId="7" applyFont="1" applyBorder="1"/>
    <xf numFmtId="49" fontId="21" fillId="5" borderId="101" xfId="3" applyNumberFormat="1" applyFont="1" applyFill="1" applyBorder="1" applyAlignment="1">
      <alignment horizontal="center" vertical="center" wrapText="1"/>
    </xf>
    <xf numFmtId="49" fontId="21" fillId="5" borderId="102" xfId="3" applyNumberFormat="1" applyFont="1" applyFill="1" applyBorder="1" applyAlignment="1">
      <alignment horizontal="center" vertical="center" wrapText="1"/>
    </xf>
    <xf numFmtId="49" fontId="21" fillId="5" borderId="103" xfId="3" applyNumberFormat="1" applyFont="1" applyFill="1" applyBorder="1" applyAlignment="1">
      <alignment horizontal="center" vertical="center" wrapText="1"/>
    </xf>
    <xf numFmtId="0" fontId="5" fillId="5" borderId="104" xfId="3" applyFont="1" applyFill="1" applyBorder="1" applyAlignment="1">
      <alignment horizontal="center" vertical="center" wrapText="1"/>
    </xf>
    <xf numFmtId="0" fontId="21" fillId="5" borderId="0" xfId="3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49" fontId="22" fillId="0" borderId="157" xfId="0" applyNumberFormat="1" applyFont="1" applyBorder="1" applyAlignment="1">
      <alignment horizontal="center" vertical="center"/>
    </xf>
    <xf numFmtId="49" fontId="22" fillId="0" borderId="158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5" borderId="0" xfId="7" applyFont="1" applyFill="1" applyAlignment="1">
      <alignment horizontal="center" vertical="center" wrapText="1"/>
    </xf>
    <xf numFmtId="0" fontId="10" fillId="5" borderId="11" xfId="7" applyFont="1" applyFill="1" applyBorder="1" applyAlignment="1">
      <alignment horizontal="center" vertical="center" wrapText="1"/>
    </xf>
    <xf numFmtId="49" fontId="10" fillId="5" borderId="11" xfId="7" applyNumberFormat="1" applyFont="1" applyFill="1" applyBorder="1" applyAlignment="1">
      <alignment horizontal="center" vertical="center" wrapText="1"/>
    </xf>
    <xf numFmtId="49" fontId="10" fillId="5" borderId="10" xfId="7" applyNumberFormat="1" applyFont="1" applyFill="1" applyBorder="1" applyAlignment="1">
      <alignment horizontal="center" vertical="center" wrapText="1"/>
    </xf>
    <xf numFmtId="49" fontId="10" fillId="5" borderId="19" xfId="7" applyNumberFormat="1" applyFont="1" applyFill="1" applyBorder="1" applyAlignment="1">
      <alignment horizontal="center" vertical="center" wrapText="1"/>
    </xf>
    <xf numFmtId="0" fontId="69" fillId="3" borderId="100" xfId="7" applyFont="1" applyFill="1" applyBorder="1" applyAlignment="1">
      <alignment horizontal="left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22" fillId="5" borderId="120" xfId="0" applyFont="1" applyFill="1" applyBorder="1" applyAlignment="1">
      <alignment horizontal="center" vertical="center" wrapText="1"/>
    </xf>
    <xf numFmtId="49" fontId="22" fillId="5" borderId="121" xfId="0" applyNumberFormat="1" applyFont="1" applyFill="1" applyBorder="1" applyAlignment="1">
      <alignment horizontal="center" vertical="center" wrapText="1"/>
    </xf>
    <xf numFmtId="49" fontId="2" fillId="5" borderId="121" xfId="0" applyNumberFormat="1" applyFont="1" applyFill="1" applyBorder="1" applyAlignment="1">
      <alignment horizontal="center" vertical="center" wrapText="1"/>
    </xf>
    <xf numFmtId="49" fontId="2" fillId="5" borderId="122" xfId="0" applyNumberFormat="1" applyFont="1" applyFill="1" applyBorder="1" applyAlignment="1">
      <alignment horizontal="center" vertical="center" wrapText="1"/>
    </xf>
    <xf numFmtId="0" fontId="22" fillId="5" borderId="107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9" fillId="5" borderId="117" xfId="0" applyFont="1" applyFill="1" applyBorder="1" applyAlignment="1">
      <alignment horizontal="center" vertical="center" wrapText="1"/>
    </xf>
    <xf numFmtId="0" fontId="9" fillId="5" borderId="118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85" xfId="7" applyFont="1" applyFill="1" applyBorder="1" applyAlignment="1">
      <alignment horizontal="center" vertical="center" wrapText="1"/>
    </xf>
    <xf numFmtId="0" fontId="9" fillId="5" borderId="0" xfId="7" applyFont="1" applyFill="1" applyAlignment="1">
      <alignment horizontal="center" vertical="center" wrapText="1"/>
    </xf>
    <xf numFmtId="0" fontId="9" fillId="5" borderId="32" xfId="7" applyFont="1" applyFill="1" applyBorder="1" applyAlignment="1">
      <alignment horizontal="center" vertical="center" wrapText="1"/>
    </xf>
    <xf numFmtId="0" fontId="9" fillId="5" borderId="11" xfId="7" applyFont="1" applyFill="1" applyBorder="1" applyAlignment="1">
      <alignment horizontal="center" vertical="center" wrapText="1"/>
    </xf>
  </cellXfs>
  <cellStyles count="39">
    <cellStyle name="=C:\WINNT35\SYSTEM32\COMMAND.COM" xfId="37" xr:uid="{5DAF630D-B3C4-4934-976B-6BB262DCB097}"/>
    <cellStyle name="Comma 2" xfId="4" xr:uid="{00000000-0005-0000-0000-000000000000}"/>
    <cellStyle name="Comma 3" xfId="5" xr:uid="{00000000-0005-0000-0000-000001000000}"/>
    <cellStyle name="Good 2 2" xfId="35" xr:uid="{6E1FA7E7-0EEE-475A-97F1-57F81C6B03FB}"/>
    <cellStyle name="Hyperlink" xfId="1" builtinId="8"/>
    <cellStyle name="Hyperlink 2" xfId="8" xr:uid="{00000000-0005-0000-0000-000003000000}"/>
    <cellStyle name="Hyperlink 3" xfId="32" xr:uid="{998E5F45-DB37-4368-AAB8-0039BE9F4E97}"/>
    <cellStyle name="Normal" xfId="0" builtinId="0"/>
    <cellStyle name="Normal 10" xfId="24" xr:uid="{5D1FE4AA-26BC-4A22-940A-FBFF561C8366}"/>
    <cellStyle name="Normal 10 10 2" xfId="30" xr:uid="{C4FDAB1A-57F5-47C5-AA81-15F533EC9B57}"/>
    <cellStyle name="Normal 12 2" xfId="20" xr:uid="{4290C669-7E3F-4882-9715-1579B8B8ED1E}"/>
    <cellStyle name="Normal 2" xfId="3" xr:uid="{00000000-0005-0000-0000-000005000000}"/>
    <cellStyle name="Normal 2 2" xfId="9" xr:uid="{00000000-0005-0000-0000-000006000000}"/>
    <cellStyle name="Normal 2 2 2" xfId="17" xr:uid="{00000000-0005-0000-0000-000007000000}"/>
    <cellStyle name="Normal 2 2 4" xfId="38" xr:uid="{A20BFF53-E2D8-4577-96E6-3E9E60A9F8EB}"/>
    <cellStyle name="Normal 2 3" xfId="28" xr:uid="{E8F29490-083A-4D4B-A520-02652DACB25F}"/>
    <cellStyle name="Normal 2 4" xfId="25" xr:uid="{B338F72C-5795-423F-8665-93469690A054}"/>
    <cellStyle name="Normal 3" xfId="6" xr:uid="{00000000-0005-0000-0000-000008000000}"/>
    <cellStyle name="Normal 3 2" xfId="10" xr:uid="{00000000-0005-0000-0000-000009000000}"/>
    <cellStyle name="Normal 3 3" xfId="11" xr:uid="{00000000-0005-0000-0000-00000A000000}"/>
    <cellStyle name="Normal 3 3 2" xfId="12" xr:uid="{00000000-0005-0000-0000-00000B000000}"/>
    <cellStyle name="Normal 4" xfId="7" xr:uid="{00000000-0005-0000-0000-00000C000000}"/>
    <cellStyle name="Normal 4 2" xfId="14" xr:uid="{00000000-0005-0000-0000-00000D000000}"/>
    <cellStyle name="Normal 4 3" xfId="29" xr:uid="{717A0739-512F-490E-8C9E-E48BABE3403B}"/>
    <cellStyle name="Normal 5" xfId="13" xr:uid="{00000000-0005-0000-0000-00000E000000}"/>
    <cellStyle name="Normal 5 2" xfId="15" xr:uid="{00000000-0005-0000-0000-00000F000000}"/>
    <cellStyle name="Normal 6" xfId="16" xr:uid="{00000000-0005-0000-0000-000010000000}"/>
    <cellStyle name="Normal 7" xfId="18" xr:uid="{00000000-0005-0000-0000-000011000000}"/>
    <cellStyle name="Normal 8" xfId="21" xr:uid="{425F6D90-8BC0-47D7-9552-8D47D8D6524D}"/>
    <cellStyle name="Normal 8 2" xfId="22" xr:uid="{00FDAC0D-8A72-4CA9-A994-C2536FDB902B}"/>
    <cellStyle name="Normal 9" xfId="23" xr:uid="{A6FB856E-7B73-488D-8190-ED41493F4CE7}"/>
    <cellStyle name="Normal 9 8 2 2 2" xfId="36" xr:uid="{208824C6-A441-4E07-97D8-CB8304D96368}"/>
    <cellStyle name="Obično_standardizirani pristup_izvješće  RV 01.02.2008." xfId="27" xr:uid="{4EA79E69-3BAD-49FC-A11B-7498A2B8D947}"/>
    <cellStyle name="Percent" xfId="2" builtinId="5"/>
    <cellStyle name="Percent 10" xfId="34" xr:uid="{AE7D53BA-3ADD-45E8-A327-D56D453E9EE3}"/>
    <cellStyle name="Percent 2" xfId="19" xr:uid="{00000000-0005-0000-0000-000013000000}"/>
    <cellStyle name="Percent 2 10 2 2" xfId="31" xr:uid="{8A829D8D-4B7D-4CC4-9ADC-3A5DAF4EA899}"/>
    <cellStyle name="Percent 2 2" xfId="33" xr:uid="{A88E6F10-F206-4597-B293-5ED4EE78072F}"/>
    <cellStyle name="Standard 3" xfId="26" xr:uid="{B976B9B0-D525-447C-AA99-883A3A3FD061}"/>
  </cellStyles>
  <dxfs count="7">
    <dxf>
      <font>
        <color auto="1"/>
      </font>
    </dxf>
    <dxf>
      <font>
        <color rgb="FF00B050"/>
      </font>
    </dxf>
    <dxf>
      <font>
        <color rgb="FFC0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</dxfs>
  <tableStyles count="0" defaultTableStyle="TableStyleMedium9" defaultPivotStyle="PivotStyleLight16"/>
  <colors>
    <mruColors>
      <color rgb="FFFF4B4B"/>
      <color rgb="FFFF6565"/>
      <color rgb="FFFABF8F"/>
      <color rgb="FFFFFFCC"/>
      <color rgb="FF0000FF"/>
      <color rgb="FFFFFF99"/>
      <color rgb="FF800000"/>
      <color rgb="FFC4C13F"/>
      <color rgb="FFDADF21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Tabele!A55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254000</xdr:colOff>
      <xdr:row>1</xdr:row>
      <xdr:rowOff>57150</xdr:rowOff>
    </xdr:from>
    <xdr:to>
      <xdr:col>6</xdr:col>
      <xdr:colOff>558800</xdr:colOff>
      <xdr:row>2</xdr:row>
      <xdr:rowOff>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5159375" y="2476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</xdr:row>
      <xdr:rowOff>40409</xdr:rowOff>
    </xdr:from>
    <xdr:to>
      <xdr:col>10</xdr:col>
      <xdr:colOff>495300</xdr:colOff>
      <xdr:row>1</xdr:row>
      <xdr:rowOff>173759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000-000003000000}"/>
            </a:ext>
          </a:extLst>
        </xdr:cNvPr>
        <xdr:cNvSpPr/>
      </xdr:nvSpPr>
      <xdr:spPr>
        <a:xfrm>
          <a:off x="7019636" y="40409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215900</xdr:colOff>
      <xdr:row>1</xdr:row>
      <xdr:rowOff>35560</xdr:rowOff>
    </xdr:from>
    <xdr:to>
      <xdr:col>13</xdr:col>
      <xdr:colOff>520700</xdr:colOff>
      <xdr:row>1</xdr:row>
      <xdr:rowOff>167640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600-000003000000}"/>
            </a:ext>
          </a:extLst>
        </xdr:cNvPr>
        <xdr:cNvSpPr/>
      </xdr:nvSpPr>
      <xdr:spPr>
        <a:xfrm>
          <a:off x="6822440" y="3556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217170</xdr:colOff>
      <xdr:row>1</xdr:row>
      <xdr:rowOff>26670</xdr:rowOff>
    </xdr:from>
    <xdr:to>
      <xdr:col>13</xdr:col>
      <xdr:colOff>521970</xdr:colOff>
      <xdr:row>1</xdr:row>
      <xdr:rowOff>160020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900-000003000000}"/>
            </a:ext>
          </a:extLst>
        </xdr:cNvPr>
        <xdr:cNvSpPr/>
      </xdr:nvSpPr>
      <xdr:spPr>
        <a:xfrm>
          <a:off x="6976110" y="2667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231140</xdr:colOff>
      <xdr:row>1</xdr:row>
      <xdr:rowOff>22860</xdr:rowOff>
    </xdr:from>
    <xdr:to>
      <xdr:col>13</xdr:col>
      <xdr:colOff>535940</xdr:colOff>
      <xdr:row>1</xdr:row>
      <xdr:rowOff>156210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C00-000003000000}"/>
            </a:ext>
          </a:extLst>
        </xdr:cNvPr>
        <xdr:cNvSpPr/>
      </xdr:nvSpPr>
      <xdr:spPr>
        <a:xfrm>
          <a:off x="7424420" y="2286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1</xdr:row>
      <xdr:rowOff>38100</xdr:rowOff>
    </xdr:from>
    <xdr:to>
      <xdr:col>7</xdr:col>
      <xdr:colOff>514350</xdr:colOff>
      <xdr:row>1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F00-000003000000}"/>
            </a:ext>
          </a:extLst>
        </xdr:cNvPr>
        <xdr:cNvSpPr/>
      </xdr:nvSpPr>
      <xdr:spPr>
        <a:xfrm>
          <a:off x="5981700" y="38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2</xdr:row>
      <xdr:rowOff>63500</xdr:rowOff>
    </xdr:from>
    <xdr:to>
      <xdr:col>6</xdr:col>
      <xdr:colOff>457200</xdr:colOff>
      <xdr:row>3</xdr:row>
      <xdr:rowOff>25400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200-000003000000}"/>
            </a:ext>
          </a:extLst>
        </xdr:cNvPr>
        <xdr:cNvSpPr/>
      </xdr:nvSpPr>
      <xdr:spPr>
        <a:xfrm>
          <a:off x="5905500" y="63500"/>
          <a:ext cx="304800" cy="1143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216535</xdr:colOff>
      <xdr:row>0</xdr:row>
      <xdr:rowOff>74930</xdr:rowOff>
    </xdr:from>
    <xdr:to>
      <xdr:col>6</xdr:col>
      <xdr:colOff>521335</xdr:colOff>
      <xdr:row>1</xdr:row>
      <xdr:rowOff>55880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500-000002000000}"/>
            </a:ext>
          </a:extLst>
        </xdr:cNvPr>
        <xdr:cNvSpPr/>
      </xdr:nvSpPr>
      <xdr:spPr>
        <a:xfrm>
          <a:off x="6188710" y="7493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203200</xdr:colOff>
      <xdr:row>0</xdr:row>
      <xdr:rowOff>12700</xdr:rowOff>
    </xdr:from>
    <xdr:to>
      <xdr:col>6</xdr:col>
      <xdr:colOff>508000</xdr:colOff>
      <xdr:row>0</xdr:row>
      <xdr:rowOff>146050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800-000003000000}"/>
            </a:ext>
          </a:extLst>
        </xdr:cNvPr>
        <xdr:cNvSpPr/>
      </xdr:nvSpPr>
      <xdr:spPr>
        <a:xfrm>
          <a:off x="6216650" y="127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154516</xdr:colOff>
      <xdr:row>3</xdr:row>
      <xdr:rowOff>14817</xdr:rowOff>
    </xdr:from>
    <xdr:to>
      <xdr:col>10</xdr:col>
      <xdr:colOff>459316</xdr:colOff>
      <xdr:row>3</xdr:row>
      <xdr:rowOff>148167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B00-000003000000}"/>
            </a:ext>
          </a:extLst>
        </xdr:cNvPr>
        <xdr:cNvSpPr/>
      </xdr:nvSpPr>
      <xdr:spPr>
        <a:xfrm>
          <a:off x="6102349" y="554567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2</xdr:row>
      <xdr:rowOff>38100</xdr:rowOff>
    </xdr:from>
    <xdr:to>
      <xdr:col>10</xdr:col>
      <xdr:colOff>438150</xdr:colOff>
      <xdr:row>2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E00-000003000000}"/>
            </a:ext>
          </a:extLst>
        </xdr:cNvPr>
        <xdr:cNvSpPr/>
      </xdr:nvSpPr>
      <xdr:spPr>
        <a:xfrm>
          <a:off x="61531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0</xdr:row>
      <xdr:rowOff>31750</xdr:rowOff>
    </xdr:from>
    <xdr:to>
      <xdr:col>9</xdr:col>
      <xdr:colOff>495300</xdr:colOff>
      <xdr:row>0</xdr:row>
      <xdr:rowOff>165100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6102350" y="317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127000</xdr:colOff>
      <xdr:row>3</xdr:row>
      <xdr:rowOff>6350</xdr:rowOff>
    </xdr:from>
    <xdr:to>
      <xdr:col>10</xdr:col>
      <xdr:colOff>431800</xdr:colOff>
      <xdr:row>3</xdr:row>
      <xdr:rowOff>139700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7100-000003000000}"/>
            </a:ext>
          </a:extLst>
        </xdr:cNvPr>
        <xdr:cNvSpPr/>
      </xdr:nvSpPr>
      <xdr:spPr>
        <a:xfrm>
          <a:off x="5975350" y="3746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</xdr:row>
      <xdr:rowOff>34925</xdr:rowOff>
    </xdr:from>
    <xdr:to>
      <xdr:col>9</xdr:col>
      <xdr:colOff>428625</xdr:colOff>
      <xdr:row>2</xdr:row>
      <xdr:rowOff>15875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7D00-000003000000}"/>
            </a:ext>
          </a:extLst>
        </xdr:cNvPr>
        <xdr:cNvSpPr/>
      </xdr:nvSpPr>
      <xdr:spPr>
        <a:xfrm>
          <a:off x="5826125" y="225425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184150</xdr:colOff>
      <xdr:row>1</xdr:row>
      <xdr:rowOff>66675</xdr:rowOff>
    </xdr:from>
    <xdr:to>
      <xdr:col>9</xdr:col>
      <xdr:colOff>488950</xdr:colOff>
      <xdr:row>2</xdr:row>
      <xdr:rowOff>47625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000-000003000000}"/>
            </a:ext>
          </a:extLst>
        </xdr:cNvPr>
        <xdr:cNvSpPr/>
      </xdr:nvSpPr>
      <xdr:spPr>
        <a:xfrm>
          <a:off x="5600700" y="257175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1</xdr:row>
      <xdr:rowOff>63500</xdr:rowOff>
    </xdr:from>
    <xdr:to>
      <xdr:col>9</xdr:col>
      <xdr:colOff>447675</xdr:colOff>
      <xdr:row>2</xdr:row>
      <xdr:rowOff>44450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300-000003000000}"/>
            </a:ext>
          </a:extLst>
        </xdr:cNvPr>
        <xdr:cNvSpPr/>
      </xdr:nvSpPr>
      <xdr:spPr>
        <a:xfrm>
          <a:off x="5743575" y="2540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213995</xdr:colOff>
      <xdr:row>0</xdr:row>
      <xdr:rowOff>20955</xdr:rowOff>
    </xdr:from>
    <xdr:to>
      <xdr:col>5</xdr:col>
      <xdr:colOff>495935</xdr:colOff>
      <xdr:row>0</xdr:row>
      <xdr:rowOff>161925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600-000003000000}"/>
            </a:ext>
          </a:extLst>
        </xdr:cNvPr>
        <xdr:cNvSpPr/>
      </xdr:nvSpPr>
      <xdr:spPr>
        <a:xfrm>
          <a:off x="4915535" y="20955"/>
          <a:ext cx="281940" cy="14097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91016</xdr:colOff>
      <xdr:row>2</xdr:row>
      <xdr:rowOff>59267</xdr:rowOff>
    </xdr:from>
    <xdr:to>
      <xdr:col>5</xdr:col>
      <xdr:colOff>395816</xdr:colOff>
      <xdr:row>3</xdr:row>
      <xdr:rowOff>12700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A00-000003000000}"/>
            </a:ext>
          </a:extLst>
        </xdr:cNvPr>
        <xdr:cNvSpPr/>
      </xdr:nvSpPr>
      <xdr:spPr>
        <a:xfrm>
          <a:off x="5806016" y="419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273050</xdr:colOff>
      <xdr:row>0</xdr:row>
      <xdr:rowOff>31750</xdr:rowOff>
    </xdr:from>
    <xdr:to>
      <xdr:col>6</xdr:col>
      <xdr:colOff>577850</xdr:colOff>
      <xdr:row>0</xdr:row>
      <xdr:rowOff>165100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D00-000003000000}"/>
            </a:ext>
          </a:extLst>
        </xdr:cNvPr>
        <xdr:cNvSpPr/>
      </xdr:nvSpPr>
      <xdr:spPr>
        <a:xfrm>
          <a:off x="6223000" y="317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65617</xdr:colOff>
      <xdr:row>2</xdr:row>
      <xdr:rowOff>48684</xdr:rowOff>
    </xdr:from>
    <xdr:to>
      <xdr:col>5</xdr:col>
      <xdr:colOff>370417</xdr:colOff>
      <xdr:row>3</xdr:row>
      <xdr:rowOff>2117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000-000003000000}"/>
            </a:ext>
          </a:extLst>
        </xdr:cNvPr>
        <xdr:cNvSpPr/>
      </xdr:nvSpPr>
      <xdr:spPr>
        <a:xfrm>
          <a:off x="5992284" y="408517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184150</xdr:colOff>
      <xdr:row>0</xdr:row>
      <xdr:rowOff>50800</xdr:rowOff>
    </xdr:from>
    <xdr:to>
      <xdr:col>7</xdr:col>
      <xdr:colOff>488950</xdr:colOff>
      <xdr:row>1</xdr:row>
      <xdr:rowOff>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300-000003000000}"/>
            </a:ext>
          </a:extLst>
        </xdr:cNvPr>
        <xdr:cNvSpPr/>
      </xdr:nvSpPr>
      <xdr:spPr>
        <a:xfrm>
          <a:off x="7080250" y="50800"/>
          <a:ext cx="304800" cy="1397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184150</xdr:colOff>
      <xdr:row>0</xdr:row>
      <xdr:rowOff>50800</xdr:rowOff>
    </xdr:from>
    <xdr:to>
      <xdr:col>7</xdr:col>
      <xdr:colOff>488950</xdr:colOff>
      <xdr:row>1</xdr:row>
      <xdr:rowOff>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C00-000002000000}"/>
            </a:ext>
          </a:extLst>
        </xdr:cNvPr>
        <xdr:cNvSpPr/>
      </xdr:nvSpPr>
      <xdr:spPr>
        <a:xfrm>
          <a:off x="7217410" y="5080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</xdr:row>
      <xdr:rowOff>38100</xdr:rowOff>
    </xdr:from>
    <xdr:to>
      <xdr:col>4</xdr:col>
      <xdr:colOff>514350</xdr:colOff>
      <xdr:row>1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45021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101600</xdr:colOff>
      <xdr:row>2</xdr:row>
      <xdr:rowOff>19050</xdr:rowOff>
    </xdr:from>
    <xdr:to>
      <xdr:col>9</xdr:col>
      <xdr:colOff>406400</xdr:colOff>
      <xdr:row>2</xdr:row>
      <xdr:rowOff>152400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F00-000002000000}"/>
            </a:ext>
          </a:extLst>
        </xdr:cNvPr>
        <xdr:cNvSpPr/>
      </xdr:nvSpPr>
      <xdr:spPr>
        <a:xfrm>
          <a:off x="5721350" y="3873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158750</xdr:colOff>
      <xdr:row>0</xdr:row>
      <xdr:rowOff>63500</xdr:rowOff>
    </xdr:from>
    <xdr:to>
      <xdr:col>4</xdr:col>
      <xdr:colOff>463550</xdr:colOff>
      <xdr:row>1</xdr:row>
      <xdr:rowOff>12700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A200-000002000000}"/>
            </a:ext>
          </a:extLst>
        </xdr:cNvPr>
        <xdr:cNvSpPr/>
      </xdr:nvSpPr>
      <xdr:spPr>
        <a:xfrm>
          <a:off x="5759450" y="635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130175</xdr:colOff>
      <xdr:row>1</xdr:row>
      <xdr:rowOff>44450</xdr:rowOff>
    </xdr:from>
    <xdr:to>
      <xdr:col>9</xdr:col>
      <xdr:colOff>434975</xdr:colOff>
      <xdr:row>1</xdr:row>
      <xdr:rowOff>158750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A500-000003000000}"/>
            </a:ext>
          </a:extLst>
        </xdr:cNvPr>
        <xdr:cNvSpPr/>
      </xdr:nvSpPr>
      <xdr:spPr>
        <a:xfrm>
          <a:off x="5984875" y="196850"/>
          <a:ext cx="304800" cy="1143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254000</xdr:colOff>
      <xdr:row>0</xdr:row>
      <xdr:rowOff>57150</xdr:rowOff>
    </xdr:from>
    <xdr:to>
      <xdr:col>10</xdr:col>
      <xdr:colOff>558800</xdr:colOff>
      <xdr:row>1</xdr:row>
      <xdr:rowOff>6350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700-000003000000}"/>
            </a:ext>
          </a:extLst>
        </xdr:cNvPr>
        <xdr:cNvSpPr/>
      </xdr:nvSpPr>
      <xdr:spPr>
        <a:xfrm>
          <a:off x="9766300" y="571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156210</xdr:colOff>
      <xdr:row>0</xdr:row>
      <xdr:rowOff>76200</xdr:rowOff>
    </xdr:from>
    <xdr:to>
      <xdr:col>9</xdr:col>
      <xdr:colOff>461010</xdr:colOff>
      <xdr:row>1</xdr:row>
      <xdr:rowOff>57150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A00-000003000000}"/>
            </a:ext>
          </a:extLst>
        </xdr:cNvPr>
        <xdr:cNvSpPr/>
      </xdr:nvSpPr>
      <xdr:spPr>
        <a:xfrm>
          <a:off x="6869430" y="762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69850</xdr:rowOff>
    </xdr:from>
    <xdr:to>
      <xdr:col>11</xdr:col>
      <xdr:colOff>476250</xdr:colOff>
      <xdr:row>1</xdr:row>
      <xdr:rowOff>19050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D00-000003000000}"/>
            </a:ext>
          </a:extLst>
        </xdr:cNvPr>
        <xdr:cNvSpPr/>
      </xdr:nvSpPr>
      <xdr:spPr>
        <a:xfrm>
          <a:off x="9302750" y="698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1</xdr:row>
      <xdr:rowOff>38100</xdr:rowOff>
    </xdr:from>
    <xdr:to>
      <xdr:col>9</xdr:col>
      <xdr:colOff>400050</xdr:colOff>
      <xdr:row>1</xdr:row>
      <xdr:rowOff>171450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6619875" y="38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158750</xdr:colOff>
      <xdr:row>1</xdr:row>
      <xdr:rowOff>25400</xdr:rowOff>
    </xdr:from>
    <xdr:to>
      <xdr:col>8</xdr:col>
      <xdr:colOff>463550</xdr:colOff>
      <xdr:row>1</xdr:row>
      <xdr:rowOff>158750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/>
      </xdr:nvSpPr>
      <xdr:spPr>
        <a:xfrm>
          <a:off x="5861050" y="2095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101600</xdr:colOff>
      <xdr:row>2</xdr:row>
      <xdr:rowOff>38100</xdr:rowOff>
    </xdr:from>
    <xdr:to>
      <xdr:col>8</xdr:col>
      <xdr:colOff>406400</xdr:colOff>
      <xdr:row>2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SpPr/>
      </xdr:nvSpPr>
      <xdr:spPr>
        <a:xfrm>
          <a:off x="58229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</xdr:row>
      <xdr:rowOff>44450</xdr:rowOff>
    </xdr:from>
    <xdr:to>
      <xdr:col>5</xdr:col>
      <xdr:colOff>552450</xdr:colOff>
      <xdr:row>1</xdr:row>
      <xdr:rowOff>177800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SpPr/>
      </xdr:nvSpPr>
      <xdr:spPr>
        <a:xfrm>
          <a:off x="5746750" y="444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241300</xdr:colOff>
      <xdr:row>0</xdr:row>
      <xdr:rowOff>6350</xdr:rowOff>
    </xdr:from>
    <xdr:to>
      <xdr:col>7</xdr:col>
      <xdr:colOff>546100</xdr:colOff>
      <xdr:row>1</xdr:row>
      <xdr:rowOff>146050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SpPr/>
      </xdr:nvSpPr>
      <xdr:spPr>
        <a:xfrm>
          <a:off x="5461000" y="6350"/>
          <a:ext cx="304800" cy="1397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234950</xdr:colOff>
      <xdr:row>1</xdr:row>
      <xdr:rowOff>44450</xdr:rowOff>
    </xdr:from>
    <xdr:to>
      <xdr:col>8</xdr:col>
      <xdr:colOff>539750</xdr:colOff>
      <xdr:row>1</xdr:row>
      <xdr:rowOff>177800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F00-000003000000}"/>
            </a:ext>
          </a:extLst>
        </xdr:cNvPr>
        <xdr:cNvSpPr/>
      </xdr:nvSpPr>
      <xdr:spPr>
        <a:xfrm>
          <a:off x="6877050" y="444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AC92AD2-55F6-41FF-B4A8-5BF93719E09E}">
  <we:reference id="wa104379177" version="1.0.0.1" store="en-US" storeType="OMEX"/>
  <we:alternateReferences>
    <we:reference id="wa104379177" version="1.0.0.1" store="wa10437917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4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4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drawing" Target="../drawings/drawing1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4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51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4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4" Type="http://schemas.openxmlformats.org/officeDocument/2006/relationships/drawing" Target="../drawings/drawing25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4" Type="http://schemas.openxmlformats.org/officeDocument/2006/relationships/drawing" Target="../drawings/drawing26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6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6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6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6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6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6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6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2889-83C5-449E-92F1-EFDF35B594A5}">
  <sheetPr codeName="Sheet1"/>
  <dimension ref="A1:FQ19"/>
  <sheetViews>
    <sheetView showGridLines="0" tabSelected="1" zoomScaleNormal="100" workbookViewId="0">
      <selection activeCell="C8" sqref="C8"/>
    </sheetView>
  </sheetViews>
  <sheetFormatPr defaultColWidth="9.109375" defaultRowHeight="14.4" x14ac:dyDescent="0.3"/>
  <cols>
    <col min="1" max="1" width="12.109375" style="25" customWidth="1"/>
    <col min="2" max="2" width="15" style="25" customWidth="1"/>
    <col min="3" max="3" width="56.109375" style="25" customWidth="1"/>
    <col min="4" max="4" width="13.5546875" style="25" customWidth="1"/>
    <col min="5" max="5" width="13.6640625" style="25" customWidth="1"/>
    <col min="6" max="7" width="9.109375" style="25"/>
    <col min="8" max="8" width="6.88671875" style="25" customWidth="1"/>
    <col min="9" max="9" width="4.6640625" style="25" customWidth="1"/>
    <col min="10" max="10" width="2.88671875" style="25" customWidth="1"/>
    <col min="11" max="16384" width="9.109375" style="25"/>
  </cols>
  <sheetData>
    <row r="1" spans="1:173" ht="25.5" customHeight="1" thickBot="1" x14ac:dyDescent="0.35">
      <c r="A1" s="724" t="s">
        <v>127</v>
      </c>
      <c r="B1" s="724"/>
      <c r="C1" s="724"/>
      <c r="D1" s="724"/>
      <c r="E1" s="724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5" thickTop="1" x14ac:dyDescent="0.3"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x14ac:dyDescent="0.3"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5.6" x14ac:dyDescent="0.3">
      <c r="H4" s="11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19.8" x14ac:dyDescent="0.3">
      <c r="A5" s="725" t="s">
        <v>602</v>
      </c>
      <c r="B5" s="725"/>
      <c r="C5" s="725"/>
      <c r="D5" s="725"/>
      <c r="E5" s="72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5.6" x14ac:dyDescent="0.3">
      <c r="B6" s="11"/>
      <c r="C6" s="35"/>
      <c r="H6" s="12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x14ac:dyDescent="0.3">
      <c r="C7" s="35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7.399999999999999" x14ac:dyDescent="0.3">
      <c r="B8" s="13"/>
      <c r="C8" s="37" t="s">
        <v>618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x14ac:dyDescent="0.3"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x14ac:dyDescent="0.3"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x14ac:dyDescent="0.3">
      <c r="A11" s="360" t="s">
        <v>126</v>
      </c>
      <c r="B11"/>
      <c r="C11"/>
      <c r="D11"/>
      <c r="E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x14ac:dyDescent="0.3">
      <c r="A12" s="726" t="s">
        <v>445</v>
      </c>
      <c r="B12" s="727"/>
      <c r="C12" s="727"/>
      <c r="D12" s="727"/>
      <c r="E12" s="727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x14ac:dyDescent="0.3">
      <c r="A13" s="727"/>
      <c r="B13" s="727"/>
      <c r="C13" s="727"/>
      <c r="D13" s="727"/>
      <c r="E13" s="727"/>
    </row>
    <row r="14" spans="1:173" x14ac:dyDescent="0.3">
      <c r="A14" s="727"/>
      <c r="B14" s="727"/>
      <c r="C14" s="727"/>
      <c r="D14" s="727"/>
      <c r="E14" s="727"/>
    </row>
    <row r="15" spans="1:173" x14ac:dyDescent="0.3">
      <c r="A15" s="727"/>
      <c r="B15" s="727"/>
      <c r="C15" s="727"/>
      <c r="D15" s="727"/>
      <c r="E15" s="727"/>
    </row>
    <row r="19" spans="2:2" x14ac:dyDescent="0.3">
      <c r="B19" s="14"/>
    </row>
  </sheetData>
  <mergeCells count="3">
    <mergeCell ref="A1:E1"/>
    <mergeCell ref="A5:E5"/>
    <mergeCell ref="A12:E15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1:FY12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0.6640625" customWidth="1"/>
    <col min="2" max="4" width="13.6640625" customWidth="1"/>
    <col min="5" max="5" width="10.77734375" customWidth="1"/>
    <col min="7" max="14" width="5.77734375" customWidth="1"/>
  </cols>
  <sheetData>
    <row r="1" spans="1:181" ht="14.4" hidden="1" customHeight="1" thickBot="1" x14ac:dyDescent="0.35"/>
    <row r="2" spans="1:181" x14ac:dyDescent="0.3">
      <c r="B2" s="17"/>
      <c r="C2" s="17"/>
      <c r="D2" s="17"/>
      <c r="E2" s="98"/>
    </row>
    <row r="3" spans="1:181" ht="14.4" customHeight="1" x14ac:dyDescent="0.3">
      <c r="A3" s="45" t="s">
        <v>452</v>
      </c>
      <c r="B3" s="45"/>
      <c r="C3" s="45"/>
      <c r="D3" s="45"/>
      <c r="E3" s="260" t="s">
        <v>354</v>
      </c>
    </row>
    <row r="4" spans="1:181" ht="26.4" customHeight="1" x14ac:dyDescent="0.3">
      <c r="A4" s="99" t="s">
        <v>10</v>
      </c>
      <c r="B4" s="100" t="s">
        <v>610</v>
      </c>
      <c r="C4" s="101" t="s">
        <v>617</v>
      </c>
      <c r="D4" s="101" t="s">
        <v>619</v>
      </c>
      <c r="E4" s="542" t="str">
        <f>IF(LEN(D4)&gt;5,"Индекс " &amp; MID(D4,1,2) &amp; "-" &amp; MID(D4,4,5) &amp; "/" &amp; C4,"Индекс " &amp; D4 &amp; "/" &amp; C4)</f>
        <v>Индекс 03-2025./2024.</v>
      </c>
    </row>
    <row r="5" spans="1:181" ht="14.1" customHeight="1" x14ac:dyDescent="0.3">
      <c r="A5" s="52" t="s">
        <v>449</v>
      </c>
      <c r="B5" s="102">
        <v>3017.951</v>
      </c>
      <c r="C5" s="68">
        <v>3303.2629999999999</v>
      </c>
      <c r="D5" s="68">
        <v>3384.5929999999998</v>
      </c>
      <c r="E5" s="103">
        <f t="shared" ref="E5:E12" si="0">IF(C5&lt;&gt;0,D5/C5*100,"-")</f>
        <v>102.46211094908277</v>
      </c>
    </row>
    <row r="6" spans="1:181" ht="14.1" customHeight="1" x14ac:dyDescent="0.3">
      <c r="A6" s="52" t="s">
        <v>450</v>
      </c>
      <c r="B6" s="102">
        <f>SUM(B7:B8)</f>
        <v>2595.85419</v>
      </c>
      <c r="C6" s="68">
        <f t="shared" ref="C6:D6" si="1">SUM(C7:C8)</f>
        <v>2655.3933900000002</v>
      </c>
      <c r="D6" s="68">
        <f t="shared" si="1"/>
        <v>2698.76062</v>
      </c>
      <c r="E6" s="103">
        <f t="shared" si="0"/>
        <v>101.63317533904082</v>
      </c>
    </row>
    <row r="7" spans="1:181" ht="14.1" customHeight="1" x14ac:dyDescent="0.3">
      <c r="A7" s="89" t="s">
        <v>128</v>
      </c>
      <c r="B7" s="102">
        <v>1921.38789</v>
      </c>
      <c r="C7" s="68">
        <v>2039.73884</v>
      </c>
      <c r="D7" s="68">
        <v>2082.40119</v>
      </c>
      <c r="E7" s="103">
        <f t="shared" si="0"/>
        <v>102.09155942728434</v>
      </c>
    </row>
    <row r="8" spans="1:181" ht="14.1" customHeight="1" x14ac:dyDescent="0.3">
      <c r="A8" s="89" t="s">
        <v>129</v>
      </c>
      <c r="B8" s="102">
        <v>674.46630000000005</v>
      </c>
      <c r="C8" s="68">
        <v>615.65455000000009</v>
      </c>
      <c r="D8" s="68">
        <v>616.35943000000009</v>
      </c>
      <c r="E8" s="103">
        <f t="shared" si="0"/>
        <v>100.11449277845831</v>
      </c>
    </row>
    <row r="9" spans="1:181" ht="14.1" customHeight="1" x14ac:dyDescent="0.3">
      <c r="A9" s="104" t="s">
        <v>130</v>
      </c>
      <c r="B9" s="105">
        <f>IF(B6&lt;&gt;0,B5*100/B6,0)</f>
        <v>116.26042062092863</v>
      </c>
      <c r="C9" s="373">
        <f>IF(C6&lt;&gt;0,C5*100/C6,0)</f>
        <v>124.39825347309461</v>
      </c>
      <c r="D9" s="373">
        <f>IF(D6&lt;&gt;0,D5*100/D6,0)</f>
        <v>125.41286451704634</v>
      </c>
      <c r="E9" s="106">
        <f>IF(C9&lt;&gt;0,D9/C9*100,"-")</f>
        <v>100.81561518399546</v>
      </c>
    </row>
    <row r="10" spans="1:181" ht="14.1" customHeight="1" x14ac:dyDescent="0.3">
      <c r="A10" s="52" t="s">
        <v>451</v>
      </c>
      <c r="B10" s="102">
        <v>1806.7140400000001</v>
      </c>
      <c r="C10" s="68">
        <v>2187.83023</v>
      </c>
      <c r="D10" s="68">
        <v>2208.9328100000002</v>
      </c>
      <c r="E10" s="103">
        <f t="shared" si="0"/>
        <v>100.96454376169763</v>
      </c>
    </row>
    <row r="11" spans="1:181" ht="14.1" customHeight="1" x14ac:dyDescent="0.3">
      <c r="A11" s="52" t="s">
        <v>131</v>
      </c>
      <c r="B11" s="102">
        <f>B6+B10</f>
        <v>4402.5682299999999</v>
      </c>
      <c r="C11" s="68">
        <f t="shared" ref="C11:D11" si="2">C6+C10</f>
        <v>4843.2236200000007</v>
      </c>
      <c r="D11" s="68">
        <f t="shared" si="2"/>
        <v>4907.6934300000003</v>
      </c>
      <c r="E11" s="103">
        <f t="shared" si="0"/>
        <v>101.33113428283123</v>
      </c>
    </row>
    <row r="12" spans="1:181" s="2" customFormat="1" ht="14.1" customHeight="1" thickBot="1" x14ac:dyDescent="0.35">
      <c r="A12" s="80" t="s">
        <v>132</v>
      </c>
      <c r="B12" s="107">
        <f>IF(B11&lt;&gt;0,B5*100/B11,0)</f>
        <v>68.549783724760118</v>
      </c>
      <c r="C12" s="374">
        <f>IF(C11&lt;&gt;0,C5*100/C11,0)</f>
        <v>68.203809263715129</v>
      </c>
      <c r="D12" s="374">
        <f>IF(D11&lt;&gt;0,D5*100/D11,0)</f>
        <v>68.965045357366577</v>
      </c>
      <c r="E12" s="108">
        <f t="shared" si="0"/>
        <v>101.11611961541338</v>
      </c>
      <c r="F12"/>
      <c r="G12"/>
      <c r="H12"/>
      <c r="I12"/>
      <c r="J12"/>
      <c r="K12"/>
      <c r="L12"/>
      <c r="M12"/>
      <c r="N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</row>
  </sheetData>
  <customSheetViews>
    <customSheetView guid="{5507C501-9942-4310-9E0E-987180BD1180}">
      <selection activeCell="O41" sqref="O4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U35" sqref="U35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ignoredErrors>
    <ignoredError sqref="E12" evalError="1"/>
  </ignoredError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A1:FQ20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18.109375" customWidth="1"/>
    <col min="2" max="2" width="7.33203125" customWidth="1"/>
    <col min="3" max="3" width="5.33203125" customWidth="1"/>
    <col min="4" max="4" width="7.33203125" customWidth="1"/>
    <col min="5" max="5" width="5.33203125" customWidth="1"/>
    <col min="6" max="6" width="7.33203125" customWidth="1"/>
    <col min="7" max="7" width="5.33203125" customWidth="1"/>
    <col min="8" max="8" width="7.33203125" customWidth="1"/>
    <col min="9" max="9" width="5.33203125" customWidth="1"/>
    <col min="10" max="10" width="7.33203125" customWidth="1"/>
    <col min="11" max="11" width="5.33203125" customWidth="1"/>
    <col min="12" max="12" width="7.33203125" customWidth="1"/>
    <col min="13" max="13" width="5.33203125" customWidth="1"/>
    <col min="14" max="14" width="8.44140625" style="30" customWidth="1"/>
  </cols>
  <sheetData>
    <row r="1" spans="1:14" ht="14.4" hidden="1" customHeight="1" thickBot="1" x14ac:dyDescent="0.35"/>
    <row r="2" spans="1:14" x14ac:dyDescent="0.3">
      <c r="B2" s="22"/>
      <c r="C2" s="22"/>
      <c r="D2" s="22"/>
      <c r="E2" s="22"/>
      <c r="F2" s="22"/>
      <c r="G2" s="22"/>
      <c r="H2" s="22"/>
      <c r="I2" s="22"/>
    </row>
    <row r="3" spans="1:14" x14ac:dyDescent="0.3">
      <c r="A3" s="83" t="s">
        <v>309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64" t="s">
        <v>354</v>
      </c>
    </row>
    <row r="4" spans="1:14" ht="15" customHeight="1" x14ac:dyDescent="0.3">
      <c r="A4" s="747" t="s">
        <v>10</v>
      </c>
      <c r="B4" s="749" t="s">
        <v>617</v>
      </c>
      <c r="C4" s="750"/>
      <c r="D4" s="750"/>
      <c r="E4" s="750"/>
      <c r="F4" s="750"/>
      <c r="G4" s="750"/>
      <c r="H4" s="749" t="s">
        <v>619</v>
      </c>
      <c r="I4" s="750"/>
      <c r="J4" s="750"/>
      <c r="K4" s="750"/>
      <c r="L4" s="750"/>
      <c r="M4" s="751"/>
      <c r="N4" s="745" t="str">
        <f>IF(LEN(H4)&gt;5,"Индекс " &amp; MID(H4,1,2) &amp; "-" &amp; MID(H4,4,5) &amp; "/" &amp; B4,"Индекс " &amp; H4 &amp; "/" &amp; B4)</f>
        <v>Индекс 03-2025./2024.</v>
      </c>
    </row>
    <row r="5" spans="1:14" ht="96" x14ac:dyDescent="0.3">
      <c r="A5" s="748"/>
      <c r="B5" s="109" t="s">
        <v>583</v>
      </c>
      <c r="C5" s="110" t="s">
        <v>3</v>
      </c>
      <c r="D5" s="110" t="s">
        <v>586</v>
      </c>
      <c r="E5" s="110" t="s">
        <v>3</v>
      </c>
      <c r="F5" s="110" t="s">
        <v>16</v>
      </c>
      <c r="G5" s="110" t="s">
        <v>3</v>
      </c>
      <c r="H5" s="109" t="s">
        <v>583</v>
      </c>
      <c r="I5" s="110" t="s">
        <v>3</v>
      </c>
      <c r="J5" s="110" t="s">
        <v>586</v>
      </c>
      <c r="K5" s="110" t="s">
        <v>3</v>
      </c>
      <c r="L5" s="110" t="s">
        <v>16</v>
      </c>
      <c r="M5" s="111" t="s">
        <v>3</v>
      </c>
      <c r="N5" s="746"/>
    </row>
    <row r="6" spans="1:14" ht="12" customHeight="1" x14ac:dyDescent="0.3">
      <c r="A6" s="129" t="s">
        <v>17</v>
      </c>
      <c r="B6" s="655"/>
      <c r="C6" s="656"/>
      <c r="D6" s="657"/>
      <c r="E6" s="656"/>
      <c r="F6" s="658"/>
      <c r="G6" s="656"/>
      <c r="H6" s="655"/>
      <c r="I6" s="656"/>
      <c r="J6" s="657"/>
      <c r="K6" s="656"/>
      <c r="L6" s="658"/>
      <c r="M6" s="659"/>
      <c r="N6" s="660"/>
    </row>
    <row r="7" spans="1:14" ht="12" customHeight="1" x14ac:dyDescent="0.3">
      <c r="A7" s="128" t="s">
        <v>364</v>
      </c>
      <c r="B7" s="661">
        <v>607.29899999999998</v>
      </c>
      <c r="C7" s="662">
        <f>IF(B$20&gt;0,B7*100/B$20,0)</f>
        <v>7.269407212561382</v>
      </c>
      <c r="D7" s="663">
        <v>8.0640000000000001</v>
      </c>
      <c r="E7" s="662">
        <f>IF(D$20&gt;0,D7*100/D$20,0)</f>
        <v>0.60488634752610948</v>
      </c>
      <c r="F7" s="664">
        <f>B7+D7</f>
        <v>615.36299999999994</v>
      </c>
      <c r="G7" s="662">
        <f>IF(F$20&gt;0,F7*100/F$20,0)</f>
        <v>6.3522535339502637</v>
      </c>
      <c r="H7" s="661">
        <v>700.22699999999998</v>
      </c>
      <c r="I7" s="662">
        <f>IF(H$20&gt;0,H7*100/H$20,0)</f>
        <v>8.2861668004251552</v>
      </c>
      <c r="J7" s="663">
        <v>11.593999999999999</v>
      </c>
      <c r="K7" s="662">
        <f>IF(J$20&gt;0,J7*100/J$20,0)</f>
        <v>0.92872511370754685</v>
      </c>
      <c r="L7" s="664">
        <f>H7+J7</f>
        <v>711.82100000000003</v>
      </c>
      <c r="M7" s="665">
        <f>IF(L$20&gt;0,L7*100/L$20,0)</f>
        <v>7.3391688899355101</v>
      </c>
      <c r="N7" s="660">
        <f>IF(F7&lt;&gt;0,L7*100/F7,0)</f>
        <v>115.67497558351739</v>
      </c>
    </row>
    <row r="8" spans="1:14" ht="12" customHeight="1" x14ac:dyDescent="0.3">
      <c r="A8" s="128" t="s">
        <v>365</v>
      </c>
      <c r="B8" s="661">
        <v>1645.068</v>
      </c>
      <c r="C8" s="662">
        <f>IF(B$20&gt;0,B8*100/B$20,0)</f>
        <v>19.691567389957711</v>
      </c>
      <c r="D8" s="663">
        <v>518.36</v>
      </c>
      <c r="E8" s="662">
        <f t="shared" ref="E8:E11" si="0">IF(D$20&gt;0,D8*100/D$20,0)</f>
        <v>38.882550484081605</v>
      </c>
      <c r="F8" s="664">
        <f t="shared" ref="F8:F11" si="1">B8+D8</f>
        <v>2163.4279999999999</v>
      </c>
      <c r="G8" s="662">
        <f t="shared" ref="G8:G11" si="2">IF(F$20&gt;0,F8*100/F$20,0)</f>
        <v>22.332579564333493</v>
      </c>
      <c r="H8" s="661">
        <v>1608.2349999999999</v>
      </c>
      <c r="I8" s="662">
        <f>IF(H$20&gt;0,H8*100/H$20,0)</f>
        <v>19.031119143194637</v>
      </c>
      <c r="J8" s="663">
        <v>457.529</v>
      </c>
      <c r="K8" s="662">
        <f>IF(J$20&gt;0,J8*100/J$20,0)</f>
        <v>36.649876880239802</v>
      </c>
      <c r="L8" s="664">
        <f t="shared" ref="L8:L11" si="3">H8+J8</f>
        <v>2065.7640000000001</v>
      </c>
      <c r="M8" s="665">
        <f t="shared" ref="M8:M11" si="4">IF(L$20&gt;0,L8*100/L$20,0)</f>
        <v>21.298881155162238</v>
      </c>
      <c r="N8" s="660">
        <f>IF(F8&lt;&gt;0,L8*100/F8,0)</f>
        <v>95.485682906942145</v>
      </c>
    </row>
    <row r="9" spans="1:14" ht="12" customHeight="1" x14ac:dyDescent="0.3">
      <c r="A9" s="128" t="s">
        <v>434</v>
      </c>
      <c r="B9" s="661">
        <v>153.98400000000001</v>
      </c>
      <c r="C9" s="662">
        <f t="shared" ref="C9:C11" si="5">IF(B$20&gt;0,B9*100/B$20,0)</f>
        <v>1.8431981613983426</v>
      </c>
      <c r="D9" s="663">
        <v>15.051</v>
      </c>
      <c r="E9" s="662">
        <f t="shared" si="0"/>
        <v>1.1289861627747362</v>
      </c>
      <c r="F9" s="664">
        <f t="shared" si="1"/>
        <v>169.035</v>
      </c>
      <c r="G9" s="662">
        <f t="shared" si="2"/>
        <v>1.7449102011516502</v>
      </c>
      <c r="H9" s="661">
        <v>98.183999999999997</v>
      </c>
      <c r="I9" s="662">
        <f t="shared" ref="I9:K11" si="6">IF(H$20&gt;0,H9*100/H$20,0)</f>
        <v>1.1618646540806674</v>
      </c>
      <c r="J9" s="663">
        <v>15.728999999999999</v>
      </c>
      <c r="K9" s="662">
        <f t="shared" si="6"/>
        <v>1.2599549175009492</v>
      </c>
      <c r="L9" s="664">
        <f t="shared" si="3"/>
        <v>113.913</v>
      </c>
      <c r="M9" s="665">
        <f t="shared" si="4"/>
        <v>1.174490139739097</v>
      </c>
      <c r="N9" s="660">
        <f>IF(F9&lt;&gt;0,L9*100/F9,0)</f>
        <v>67.390185464548765</v>
      </c>
    </row>
    <row r="10" spans="1:14" ht="12" customHeight="1" x14ac:dyDescent="0.3">
      <c r="A10" s="128" t="s">
        <v>453</v>
      </c>
      <c r="B10" s="666">
        <v>3171.9650000000001</v>
      </c>
      <c r="C10" s="662">
        <f t="shared" si="5"/>
        <v>37.968620480179069</v>
      </c>
      <c r="D10" s="664">
        <v>589.529</v>
      </c>
      <c r="E10" s="662">
        <f t="shared" si="0"/>
        <v>44.220987545972193</v>
      </c>
      <c r="F10" s="667">
        <f t="shared" si="1"/>
        <v>3761.4940000000001</v>
      </c>
      <c r="G10" s="662">
        <f t="shared" si="2"/>
        <v>38.829054646497625</v>
      </c>
      <c r="H10" s="666">
        <v>3182.8490000000002</v>
      </c>
      <c r="I10" s="662">
        <f t="shared" si="6"/>
        <v>37.664382713843381</v>
      </c>
      <c r="J10" s="664">
        <v>604.904</v>
      </c>
      <c r="K10" s="662">
        <f t="shared" si="6"/>
        <v>48.455195461631014</v>
      </c>
      <c r="L10" s="667">
        <f t="shared" si="3"/>
        <v>3787.7530000000002</v>
      </c>
      <c r="M10" s="665">
        <f t="shared" si="4"/>
        <v>39.05329988910119</v>
      </c>
      <c r="N10" s="660">
        <f t="shared" ref="N10:N20" si="7">IF(F10&lt;&gt;0,L10*100/F10,0)</f>
        <v>100.69810027611369</v>
      </c>
    </row>
    <row r="11" spans="1:14" ht="12" customHeight="1" x14ac:dyDescent="0.3">
      <c r="A11" s="128" t="s">
        <v>150</v>
      </c>
      <c r="B11" s="661">
        <v>276.42500000000001</v>
      </c>
      <c r="C11" s="662">
        <f t="shared" si="5"/>
        <v>3.3088246296013666</v>
      </c>
      <c r="D11" s="663">
        <v>10.734999999999999</v>
      </c>
      <c r="E11" s="662">
        <f t="shared" si="0"/>
        <v>0.80523994800257748</v>
      </c>
      <c r="F11" s="664">
        <f t="shared" si="1"/>
        <v>287.16000000000003</v>
      </c>
      <c r="G11" s="662">
        <f t="shared" si="2"/>
        <v>2.9642879484290705</v>
      </c>
      <c r="H11" s="661">
        <v>285.661</v>
      </c>
      <c r="I11" s="662">
        <f t="shared" si="6"/>
        <v>3.3803819252560245</v>
      </c>
      <c r="J11" s="663">
        <v>10.865</v>
      </c>
      <c r="K11" s="662">
        <f t="shared" si="6"/>
        <v>0.87032933935074153</v>
      </c>
      <c r="L11" s="664">
        <f t="shared" si="3"/>
        <v>296.52600000000001</v>
      </c>
      <c r="M11" s="665">
        <f t="shared" si="4"/>
        <v>3.0573056909771097</v>
      </c>
      <c r="N11" s="660">
        <f t="shared" si="7"/>
        <v>103.2615963226076</v>
      </c>
    </row>
    <row r="12" spans="1:14" ht="12" customHeight="1" x14ac:dyDescent="0.3">
      <c r="A12" s="668" t="s">
        <v>16</v>
      </c>
      <c r="B12" s="669">
        <f t="shared" ref="B12:M12" si="8">SUM(B7:B11)</f>
        <v>5854.7410000000009</v>
      </c>
      <c r="C12" s="670">
        <f t="shared" si="8"/>
        <v>70.081617873697866</v>
      </c>
      <c r="D12" s="671">
        <f t="shared" si="8"/>
        <v>1141.7389999999998</v>
      </c>
      <c r="E12" s="670">
        <f t="shared" si="8"/>
        <v>85.642650488357233</v>
      </c>
      <c r="F12" s="671">
        <f t="shared" si="8"/>
        <v>6996.48</v>
      </c>
      <c r="G12" s="670">
        <f>SUM(G7:G11)</f>
        <v>72.2230858943621</v>
      </c>
      <c r="H12" s="669">
        <f t="shared" si="8"/>
        <v>5875.1560000000009</v>
      </c>
      <c r="I12" s="670">
        <f>SUM(I7:I11)</f>
        <v>69.523915236799866</v>
      </c>
      <c r="J12" s="671">
        <f t="shared" si="8"/>
        <v>1100.6209999999999</v>
      </c>
      <c r="K12" s="670">
        <f t="shared" si="8"/>
        <v>88.164081712430061</v>
      </c>
      <c r="L12" s="671">
        <f t="shared" si="8"/>
        <v>6975.777</v>
      </c>
      <c r="M12" s="672">
        <f t="shared" si="8"/>
        <v>71.923145764915148</v>
      </c>
      <c r="N12" s="673">
        <f t="shared" si="7"/>
        <v>99.704094058726668</v>
      </c>
    </row>
    <row r="13" spans="1:14" ht="12" customHeight="1" x14ac:dyDescent="0.3">
      <c r="A13" s="129" t="s">
        <v>18</v>
      </c>
      <c r="B13" s="674"/>
      <c r="C13" s="662"/>
      <c r="D13" s="675"/>
      <c r="E13" s="662"/>
      <c r="F13" s="664"/>
      <c r="G13" s="662"/>
      <c r="H13" s="674"/>
      <c r="I13" s="662"/>
      <c r="J13" s="675"/>
      <c r="K13" s="662"/>
      <c r="L13" s="664"/>
      <c r="M13" s="665"/>
      <c r="N13" s="660">
        <f t="shared" si="7"/>
        <v>0</v>
      </c>
    </row>
    <row r="14" spans="1:14" ht="12" customHeight="1" x14ac:dyDescent="0.3">
      <c r="A14" s="128" t="s">
        <v>364</v>
      </c>
      <c r="B14" s="661">
        <v>62.389000000000003</v>
      </c>
      <c r="C14" s="662">
        <f>IF(B$20&gt;0,B14*100/B$20,0)</f>
        <v>0.74680025256832661</v>
      </c>
      <c r="D14" s="663">
        <v>0</v>
      </c>
      <c r="E14" s="662">
        <f>IF(D$20&gt;0,D14*100/D$20,0)</f>
        <v>0</v>
      </c>
      <c r="F14" s="664">
        <f t="shared" ref="F14:F18" si="9">B14+D14</f>
        <v>62.389000000000003</v>
      </c>
      <c r="G14" s="662">
        <f>IF(F$20&gt;0,F14*100/F$20,0)</f>
        <v>0.64402758327950016</v>
      </c>
      <c r="H14" s="661">
        <v>53.253999999999998</v>
      </c>
      <c r="I14" s="662">
        <f>IF(H$20&gt;0,H14*100/H$20,0)</f>
        <v>0.63018353589598974</v>
      </c>
      <c r="J14" s="663">
        <v>0</v>
      </c>
      <c r="K14" s="662">
        <f>IF(J$20&gt;0,J14*100/J$20,0)</f>
        <v>0</v>
      </c>
      <c r="L14" s="664">
        <f t="shared" ref="L14:L18" si="10">H14+J14</f>
        <v>53.253999999999998</v>
      </c>
      <c r="M14" s="665">
        <f>IF(L$20&gt;0,L14*100/L$20,0)</f>
        <v>0.54907076366758722</v>
      </c>
      <c r="N14" s="660">
        <f t="shared" si="7"/>
        <v>85.357995800541758</v>
      </c>
    </row>
    <row r="15" spans="1:14" ht="12" customHeight="1" x14ac:dyDescent="0.3">
      <c r="A15" s="128" t="s">
        <v>365</v>
      </c>
      <c r="B15" s="661">
        <v>290.86799999999999</v>
      </c>
      <c r="C15" s="662">
        <f t="shared" ref="C15:E18" si="11">IF(B$20&gt;0,B15*100/B$20,0)</f>
        <v>3.4817082476725703</v>
      </c>
      <c r="D15" s="663">
        <v>75.28</v>
      </c>
      <c r="E15" s="662">
        <f t="shared" si="11"/>
        <v>5.6468060815681449</v>
      </c>
      <c r="F15" s="664">
        <f t="shared" si="9"/>
        <v>366.14800000000002</v>
      </c>
      <c r="G15" s="662">
        <f t="shared" ref="G15:G18" si="12">IF(F$20&gt;0,F15*100/F$20,0)</f>
        <v>3.7796632669640871</v>
      </c>
      <c r="H15" s="661">
        <v>309.64400000000001</v>
      </c>
      <c r="I15" s="662">
        <f t="shared" ref="I15" si="13">IF(H$20&gt;0,H15*100/H$20,0)</f>
        <v>3.6641858036763035</v>
      </c>
      <c r="J15" s="663">
        <v>35.250999999999998</v>
      </c>
      <c r="K15" s="662">
        <f t="shared" ref="K15" si="14">IF(J$20&gt;0,J15*100/J$20,0)</f>
        <v>2.8237440903316142</v>
      </c>
      <c r="L15" s="664">
        <f t="shared" si="10"/>
        <v>344.89499999999998</v>
      </c>
      <c r="M15" s="665">
        <f t="shared" ref="M15:M18" si="15">IF(L$20&gt;0,L15*100/L$20,0)</f>
        <v>3.5560100844092934</v>
      </c>
      <c r="N15" s="660">
        <f t="shared" si="7"/>
        <v>94.195516567071238</v>
      </c>
    </row>
    <row r="16" spans="1:14" ht="12" customHeight="1" x14ac:dyDescent="0.3">
      <c r="A16" s="128" t="s">
        <v>434</v>
      </c>
      <c r="B16" s="661">
        <v>64.099999999999994</v>
      </c>
      <c r="C16" s="662">
        <f t="shared" si="11"/>
        <v>0.7672810301436106</v>
      </c>
      <c r="D16" s="663">
        <v>6.95</v>
      </c>
      <c r="E16" s="662">
        <f t="shared" si="11"/>
        <v>0.52132441906082105</v>
      </c>
      <c r="F16" s="664">
        <f t="shared" si="9"/>
        <v>71.05</v>
      </c>
      <c r="G16" s="662">
        <f t="shared" si="12"/>
        <v>0.73343313391797404</v>
      </c>
      <c r="H16" s="661">
        <v>89.478999999999999</v>
      </c>
      <c r="I16" s="662">
        <f t="shared" ref="I16" si="16">IF(H$20&gt;0,H16*100/H$20,0)</f>
        <v>1.0588536562218287</v>
      </c>
      <c r="J16" s="663">
        <v>5.88</v>
      </c>
      <c r="K16" s="662">
        <f t="shared" ref="K16" si="17">IF(J$20&gt;0,J16*100/J$20,0)</f>
        <v>0.47101118411250442</v>
      </c>
      <c r="L16" s="664">
        <f t="shared" si="10"/>
        <v>95.358999999999995</v>
      </c>
      <c r="M16" s="665">
        <f t="shared" si="15"/>
        <v>0.98319072656659501</v>
      </c>
      <c r="N16" s="660">
        <f t="shared" si="7"/>
        <v>134.21393384940183</v>
      </c>
    </row>
    <row r="17" spans="1:173" ht="12" customHeight="1" x14ac:dyDescent="0.3">
      <c r="A17" s="128" t="s">
        <v>453</v>
      </c>
      <c r="B17" s="661">
        <v>1894.8920000000001</v>
      </c>
      <c r="C17" s="662">
        <f t="shared" si="11"/>
        <v>22.681976377080918</v>
      </c>
      <c r="D17" s="663">
        <v>109.08799999999999</v>
      </c>
      <c r="E17" s="662">
        <f t="shared" si="11"/>
        <v>8.1827680901448687</v>
      </c>
      <c r="F17" s="664">
        <f t="shared" si="9"/>
        <v>2003.98</v>
      </c>
      <c r="G17" s="662">
        <f t="shared" si="12"/>
        <v>20.686633803081516</v>
      </c>
      <c r="H17" s="661">
        <v>1941.0519999999999</v>
      </c>
      <c r="I17" s="662">
        <f t="shared" ref="I17" si="18">IF(H$20&gt;0,H17*100/H$20,0)</f>
        <v>22.969523654898836</v>
      </c>
      <c r="J17" s="663">
        <v>106.54</v>
      </c>
      <c r="K17" s="662">
        <f t="shared" ref="K17" si="19">IF(J$20&gt;0,J17*100/J$20,0)</f>
        <v>8.534274074038473</v>
      </c>
      <c r="L17" s="664">
        <f t="shared" si="10"/>
        <v>2047.5919999999999</v>
      </c>
      <c r="M17" s="665">
        <f t="shared" si="15"/>
        <v>21.111520319969248</v>
      </c>
      <c r="N17" s="660">
        <f t="shared" si="7"/>
        <v>102.17626922424374</v>
      </c>
    </row>
    <row r="18" spans="1:173" ht="12" customHeight="1" x14ac:dyDescent="0.3">
      <c r="A18" s="128" t="s">
        <v>150</v>
      </c>
      <c r="B18" s="661">
        <v>187.185</v>
      </c>
      <c r="C18" s="662">
        <f t="shared" si="11"/>
        <v>2.2406162188366889</v>
      </c>
      <c r="D18" s="663">
        <v>8.5999999999999993E-2</v>
      </c>
      <c r="E18" s="662">
        <f t="shared" si="11"/>
        <v>6.4509208689540439E-3</v>
      </c>
      <c r="F18" s="664">
        <f t="shared" si="9"/>
        <v>187.27100000000002</v>
      </c>
      <c r="G18" s="662">
        <f t="shared" si="12"/>
        <v>1.9331563183948337</v>
      </c>
      <c r="H18" s="661">
        <v>181.96899999999999</v>
      </c>
      <c r="I18" s="662">
        <f t="shared" ref="I18" si="20">IF(H$20&gt;0,H18*100/H$20,0)</f>
        <v>2.1533381125071798</v>
      </c>
      <c r="J18" s="663">
        <v>8.5999999999999993E-2</v>
      </c>
      <c r="K18" s="662">
        <f t="shared" ref="K18" si="21">IF(J$20&gt;0,J18*100/J$20,0)</f>
        <v>6.8889390873597585E-3</v>
      </c>
      <c r="L18" s="664">
        <f t="shared" si="10"/>
        <v>182.05500000000001</v>
      </c>
      <c r="M18" s="665">
        <f t="shared" si="15"/>
        <v>1.8770623404721261</v>
      </c>
      <c r="N18" s="660">
        <f t="shared" si="7"/>
        <v>97.214731592184577</v>
      </c>
    </row>
    <row r="19" spans="1:173" ht="12" customHeight="1" x14ac:dyDescent="0.3">
      <c r="A19" s="668" t="s">
        <v>16</v>
      </c>
      <c r="B19" s="669">
        <f>SUM(B14:B18)</f>
        <v>2499.4339999999997</v>
      </c>
      <c r="C19" s="670">
        <f>SUM(C14:C18)</f>
        <v>29.918382126302117</v>
      </c>
      <c r="D19" s="671">
        <f>SUM(D14:D18)</f>
        <v>191.404</v>
      </c>
      <c r="E19" s="670">
        <f>SUM(E14:E18)</f>
        <v>14.357349511642788</v>
      </c>
      <c r="F19" s="671">
        <f t="shared" ref="F19:L19" si="22">SUM(F14:F18)</f>
        <v>2690.8380000000002</v>
      </c>
      <c r="G19" s="670">
        <f>SUM(G14:G18)</f>
        <v>27.776914105637911</v>
      </c>
      <c r="H19" s="669">
        <f t="shared" si="22"/>
        <v>2575.3980000000001</v>
      </c>
      <c r="I19" s="670">
        <f t="shared" si="22"/>
        <v>30.476084763200138</v>
      </c>
      <c r="J19" s="671">
        <f t="shared" si="22"/>
        <v>147.75700000000001</v>
      </c>
      <c r="K19" s="670">
        <f>SUM(K14:K18)</f>
        <v>11.835918287569951</v>
      </c>
      <c r="L19" s="671">
        <f t="shared" si="22"/>
        <v>2723.1549999999997</v>
      </c>
      <c r="M19" s="672">
        <f>SUM(M14:M18)</f>
        <v>28.076854235084848</v>
      </c>
      <c r="N19" s="673">
        <f t="shared" si="7"/>
        <v>101.20100132375119</v>
      </c>
    </row>
    <row r="20" spans="1:173" s="2" customFormat="1" ht="12" customHeight="1" thickBot="1" x14ac:dyDescent="0.35">
      <c r="A20" s="676" t="s">
        <v>94</v>
      </c>
      <c r="B20" s="677">
        <f>B19+B12</f>
        <v>8354.1750000000011</v>
      </c>
      <c r="C20" s="678">
        <f>C19+C12</f>
        <v>99.999999999999986</v>
      </c>
      <c r="D20" s="679">
        <f>D19+D12</f>
        <v>1333.1429999999998</v>
      </c>
      <c r="E20" s="678">
        <f>E19+E12</f>
        <v>100.00000000000003</v>
      </c>
      <c r="F20" s="679">
        <f t="shared" ref="F20:L20" si="23">F19+F12</f>
        <v>9687.3179999999993</v>
      </c>
      <c r="G20" s="678">
        <f>G19+G12</f>
        <v>100.00000000000001</v>
      </c>
      <c r="H20" s="677">
        <f t="shared" si="23"/>
        <v>8450.5540000000001</v>
      </c>
      <c r="I20" s="678">
        <f t="shared" si="23"/>
        <v>100</v>
      </c>
      <c r="J20" s="679">
        <f t="shared" si="23"/>
        <v>1248.3779999999999</v>
      </c>
      <c r="K20" s="678">
        <f t="shared" si="23"/>
        <v>100.00000000000001</v>
      </c>
      <c r="L20" s="679">
        <f t="shared" si="23"/>
        <v>9698.9320000000007</v>
      </c>
      <c r="M20" s="680">
        <f>M19+M12</f>
        <v>100</v>
      </c>
      <c r="N20" s="681">
        <f t="shared" si="7"/>
        <v>100.1198887039736</v>
      </c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</row>
  </sheetData>
  <customSheetViews>
    <customSheetView guid="{5507C501-9942-4310-9E0E-987180BD1180}">
      <selection activeCell="T19" sqref="T19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2" sqref="A2:A3"/>
      <pageMargins left="0.7" right="0.7" top="0.75" bottom="0.75" header="0.3" footer="0.3"/>
      <pageSetup paperSize="9" orientation="portrait" verticalDpi="0" r:id="rId2"/>
    </customSheetView>
  </customSheetViews>
  <mergeCells count="4">
    <mergeCell ref="N4:N5"/>
    <mergeCell ref="A4:A5"/>
    <mergeCell ref="B4:G4"/>
    <mergeCell ref="H4:M4"/>
  </mergeCells>
  <pageMargins left="0.7" right="0.7" top="0.75" bottom="0.75" header="0.3" footer="0.3"/>
  <pageSetup paperSize="9" scale="85" orientation="portrait" verticalDpi="0" r:id="rId3"/>
  <ignoredErrors>
    <ignoredError sqref="F9:G9 F7:G7 I7 F8:G8 I8 F12:L13 F11:G11 I11 F10:G10 I10 I9 F16:G16 F14:G14 I14 F15:G15 I15 F18:G18 I18 F17:G17 I17 I16 K7:L7 K8:L8 K11:L11 K10:L10 K9:L9 K14:L14 K15:L15 K18:L18 K17:L17 K16:L16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>
    <tabColor theme="0" tint="-4.9989318521683403E-2"/>
  </sheetPr>
  <dimension ref="A1:FR15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5.88671875" style="280" bestFit="1" customWidth="1"/>
    <col min="2" max="2" width="9.109375" style="280"/>
    <col min="3" max="3" width="5" style="280" bestFit="1" customWidth="1"/>
    <col min="4" max="4" width="9.109375" style="280"/>
    <col min="5" max="5" width="5" style="280" bestFit="1" customWidth="1"/>
    <col min="6" max="6" width="9.109375" style="280"/>
    <col min="7" max="7" width="5" style="280" bestFit="1" customWidth="1"/>
    <col min="8" max="8" width="9.77734375" style="557" customWidth="1"/>
    <col min="9" max="14" width="5.77734375" customWidth="1"/>
  </cols>
  <sheetData>
    <row r="1" spans="1:174" ht="14.4" hidden="1" customHeight="1" thickBot="1" x14ac:dyDescent="0.35"/>
    <row r="3" spans="1:174" x14ac:dyDescent="0.3">
      <c r="A3" s="45" t="s">
        <v>261</v>
      </c>
      <c r="B3" s="45"/>
      <c r="C3" s="45"/>
      <c r="D3" s="45"/>
      <c r="E3" s="45"/>
      <c r="F3" s="45"/>
      <c r="G3" s="45"/>
      <c r="H3" s="64" t="s">
        <v>354</v>
      </c>
      <c r="I3" s="7"/>
      <c r="J3" s="7"/>
      <c r="K3" s="7"/>
      <c r="L3" s="7"/>
    </row>
    <row r="4" spans="1:174" x14ac:dyDescent="0.3">
      <c r="A4" s="728" t="s">
        <v>10</v>
      </c>
      <c r="B4" s="753" t="s">
        <v>610</v>
      </c>
      <c r="C4" s="754"/>
      <c r="D4" s="753" t="s">
        <v>617</v>
      </c>
      <c r="E4" s="754"/>
      <c r="F4" s="753" t="s">
        <v>619</v>
      </c>
      <c r="G4" s="754"/>
      <c r="H4" s="742" t="str">
        <f>IF(LEN(F4)&gt;5,"Индекс " &amp; MID(F4,1,2) &amp; "-" &amp; MID(F4,4,5) &amp; "/" &amp; D4,"Индекс " &amp; F4 &amp; "/" &amp; D4)</f>
        <v>Индекс 03-2025./2024.</v>
      </c>
      <c r="I4" s="7"/>
      <c r="J4" s="7"/>
      <c r="K4" s="7"/>
      <c r="L4" s="7"/>
    </row>
    <row r="5" spans="1:174" x14ac:dyDescent="0.3">
      <c r="A5" s="729"/>
      <c r="B5" s="544" t="s">
        <v>2</v>
      </c>
      <c r="C5" s="545" t="s">
        <v>3</v>
      </c>
      <c r="D5" s="544" t="s">
        <v>2</v>
      </c>
      <c r="E5" s="545" t="s">
        <v>3</v>
      </c>
      <c r="F5" s="544" t="s">
        <v>2</v>
      </c>
      <c r="G5" s="545" t="s">
        <v>3</v>
      </c>
      <c r="H5" s="752"/>
      <c r="I5" s="7"/>
      <c r="J5" s="7"/>
      <c r="K5" s="7"/>
      <c r="L5" s="7"/>
    </row>
    <row r="6" spans="1:174" s="7" customFormat="1" ht="12" customHeight="1" x14ac:dyDescent="0.3">
      <c r="A6" s="458" t="s">
        <v>459</v>
      </c>
      <c r="B6" s="459">
        <f t="shared" ref="B6:G6" si="0">B7+B8+B9+B12</f>
        <v>1393.174</v>
      </c>
      <c r="C6" s="377">
        <f t="shared" si="0"/>
        <v>100.00000000000001</v>
      </c>
      <c r="D6" s="459">
        <f t="shared" si="0"/>
        <v>1576.5609999999999</v>
      </c>
      <c r="E6" s="377">
        <f t="shared" si="0"/>
        <v>100</v>
      </c>
      <c r="F6" s="459">
        <f t="shared" si="0"/>
        <v>1557.672</v>
      </c>
      <c r="G6" s="377">
        <f t="shared" si="0"/>
        <v>99.999999999999986</v>
      </c>
      <c r="H6" s="563">
        <f>IF(D6&lt;&gt;0,F6/D6*100,"-")</f>
        <v>98.801885876918178</v>
      </c>
      <c r="I6"/>
      <c r="J6"/>
      <c r="K6"/>
      <c r="L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</row>
    <row r="7" spans="1:174" s="320" customFormat="1" ht="12" customHeight="1" x14ac:dyDescent="0.3">
      <c r="A7" s="378" t="s">
        <v>460</v>
      </c>
      <c r="B7" s="263">
        <v>660.00300000000004</v>
      </c>
      <c r="C7" s="319">
        <f>IF(B$6&lt;&gt;0,B7*100/B$6,0)</f>
        <v>47.374053779355634</v>
      </c>
      <c r="D7" s="263">
        <v>778.71</v>
      </c>
      <c r="E7" s="319">
        <f t="shared" ref="E7:E12" si="1">IF(D$6&lt;&gt;0,D7*100/D$6,0)</f>
        <v>49.392950859497354</v>
      </c>
      <c r="F7" s="263">
        <v>741.11</v>
      </c>
      <c r="G7" s="319">
        <f t="shared" ref="G7:G12" si="2">IF(F$6&lt;&gt;0,F7*100/F$6,0)</f>
        <v>47.5780523755964</v>
      </c>
      <c r="H7" s="47">
        <f>IF(D7&lt;&gt;0,F7/D7*100,"-")</f>
        <v>95.17150158595625</v>
      </c>
      <c r="I7"/>
      <c r="J7"/>
      <c r="K7"/>
      <c r="L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</row>
    <row r="8" spans="1:174" s="320" customFormat="1" ht="12" customHeight="1" x14ac:dyDescent="0.3">
      <c r="A8" s="378" t="s">
        <v>461</v>
      </c>
      <c r="B8" s="263">
        <v>0.876</v>
      </c>
      <c r="C8" s="319">
        <f t="shared" ref="C8:C11" si="3">IF($B$6&lt;&gt;0,B8*100/$B$6,0)</f>
        <v>6.2878003752582234E-2</v>
      </c>
      <c r="D8" s="263">
        <v>26.074000000000002</v>
      </c>
      <c r="E8" s="319">
        <f t="shared" si="1"/>
        <v>1.6538529114953371</v>
      </c>
      <c r="F8" s="263">
        <v>25.952000000000002</v>
      </c>
      <c r="G8" s="319">
        <f t="shared" si="2"/>
        <v>1.6660760416827165</v>
      </c>
      <c r="H8" s="47">
        <f t="shared" ref="H8:H12" si="4">IF(D8&lt;&gt;0,F8/D8*100,"-")</f>
        <v>99.532100943468592</v>
      </c>
      <c r="I8"/>
      <c r="J8"/>
      <c r="K8"/>
      <c r="L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</row>
    <row r="9" spans="1:174" s="320" customFormat="1" ht="12" customHeight="1" x14ac:dyDescent="0.3">
      <c r="A9" s="378" t="s">
        <v>462</v>
      </c>
      <c r="B9" s="263">
        <v>731.96600000000001</v>
      </c>
      <c r="C9" s="319">
        <f t="shared" si="3"/>
        <v>52.539453076213029</v>
      </c>
      <c r="D9" s="263">
        <v>771.49599999999998</v>
      </c>
      <c r="E9" s="319">
        <f t="shared" si="1"/>
        <v>48.935372624338669</v>
      </c>
      <c r="F9" s="263">
        <v>790.29700000000003</v>
      </c>
      <c r="G9" s="319">
        <f t="shared" si="2"/>
        <v>50.735777493592998</v>
      </c>
      <c r="H9" s="47">
        <f t="shared" si="4"/>
        <v>102.43695365886538</v>
      </c>
      <c r="I9"/>
      <c r="J9"/>
      <c r="K9"/>
      <c r="L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</row>
    <row r="10" spans="1:174" s="320" customFormat="1" ht="12" customHeight="1" x14ac:dyDescent="0.3">
      <c r="A10" s="378" t="s">
        <v>463</v>
      </c>
      <c r="B10" s="263">
        <v>238.30699999999999</v>
      </c>
      <c r="C10" s="319">
        <f t="shared" si="3"/>
        <v>17.105329269710744</v>
      </c>
      <c r="D10" s="263">
        <v>258.10899999999998</v>
      </c>
      <c r="E10" s="319">
        <f t="shared" si="1"/>
        <v>16.371646894728464</v>
      </c>
      <c r="F10" s="263">
        <v>275.31799999999998</v>
      </c>
      <c r="G10" s="319">
        <f t="shared" si="2"/>
        <v>17.674966231658527</v>
      </c>
      <c r="H10" s="47">
        <f t="shared" si="4"/>
        <v>106.66733821757475</v>
      </c>
      <c r="I10"/>
      <c r="J10"/>
      <c r="K10"/>
      <c r="L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</row>
    <row r="11" spans="1:174" s="320" customFormat="1" ht="12" customHeight="1" x14ac:dyDescent="0.3">
      <c r="A11" s="378" t="s">
        <v>464</v>
      </c>
      <c r="B11" s="263">
        <v>493.65899999999999</v>
      </c>
      <c r="C11" s="319">
        <f t="shared" si="3"/>
        <v>35.434123806502278</v>
      </c>
      <c r="D11" s="263">
        <v>513.38699999999994</v>
      </c>
      <c r="E11" s="319">
        <f t="shared" si="1"/>
        <v>32.563725729610205</v>
      </c>
      <c r="F11" s="263">
        <v>514.97900000000004</v>
      </c>
      <c r="G11" s="319">
        <f t="shared" si="2"/>
        <v>33.060811261934475</v>
      </c>
      <c r="H11" s="47">
        <f t="shared" si="4"/>
        <v>100.31009745085093</v>
      </c>
      <c r="I11"/>
      <c r="J11"/>
      <c r="K11"/>
      <c r="L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</row>
    <row r="12" spans="1:174" s="320" customFormat="1" ht="12" customHeight="1" x14ac:dyDescent="0.3">
      <c r="A12" s="378" t="s">
        <v>465</v>
      </c>
      <c r="B12" s="263">
        <v>0.32900000000000001</v>
      </c>
      <c r="C12" s="319">
        <f>IF($B$6&lt;&gt;0,B12*100/$B$6,0)</f>
        <v>2.3615140678766616E-2</v>
      </c>
      <c r="D12" s="263">
        <v>0.28100000000000003</v>
      </c>
      <c r="E12" s="319">
        <f t="shared" si="1"/>
        <v>1.78236046686427E-2</v>
      </c>
      <c r="F12" s="263">
        <v>0.313</v>
      </c>
      <c r="G12" s="319">
        <f t="shared" si="2"/>
        <v>2.0094089127878013E-2</v>
      </c>
      <c r="H12" s="47">
        <f t="shared" si="4"/>
        <v>111.38790035587188</v>
      </c>
      <c r="I12"/>
      <c r="J12"/>
      <c r="K12"/>
      <c r="L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</row>
    <row r="13" spans="1:174" s="320" customFormat="1" ht="12" customHeight="1" x14ac:dyDescent="0.3">
      <c r="A13" s="460" t="s">
        <v>466</v>
      </c>
      <c r="B13" s="461">
        <v>132.87700000000001</v>
      </c>
      <c r="C13" s="377"/>
      <c r="D13" s="461">
        <v>162.66800000000001</v>
      </c>
      <c r="E13" s="377"/>
      <c r="F13" s="461">
        <v>180.14699999999999</v>
      </c>
      <c r="G13" s="377"/>
      <c r="H13" s="95">
        <f>IF(D13&lt;&gt;0,F13/D13*100,"-")</f>
        <v>110.74519880984582</v>
      </c>
      <c r="I13"/>
      <c r="J13"/>
      <c r="K13"/>
      <c r="L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</row>
    <row r="14" spans="1:174" s="320" customFormat="1" ht="12" customHeight="1" x14ac:dyDescent="0.3">
      <c r="A14" s="460" t="s">
        <v>467</v>
      </c>
      <c r="B14" s="461">
        <v>90.129000000000005</v>
      </c>
      <c r="C14" s="377"/>
      <c r="D14" s="461">
        <v>88.578000000000003</v>
      </c>
      <c r="E14" s="377"/>
      <c r="F14" s="461">
        <v>98.01</v>
      </c>
      <c r="G14" s="377"/>
      <c r="H14" s="95">
        <f>IF(D14&lt;&gt;0,F14/D14*100,"-")</f>
        <v>110.64824222718961</v>
      </c>
      <c r="I14"/>
      <c r="J14"/>
      <c r="K14"/>
      <c r="L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</row>
    <row r="15" spans="1:174" s="8" customFormat="1" ht="12" customHeight="1" thickBot="1" x14ac:dyDescent="0.35">
      <c r="A15" s="465" t="s">
        <v>556</v>
      </c>
      <c r="B15" s="463">
        <f>+B6+B13+B14</f>
        <v>1616.1799999999998</v>
      </c>
      <c r="C15" s="464"/>
      <c r="D15" s="463">
        <f>+D6+D13+D14</f>
        <v>1827.8069999999998</v>
      </c>
      <c r="E15" s="464"/>
      <c r="F15" s="463">
        <f>+F6+F13+F14</f>
        <v>1835.829</v>
      </c>
      <c r="G15" s="464"/>
      <c r="H15" s="82">
        <f>IF(D15&lt;&gt;0,F15/D15*100,"-")</f>
        <v>100.43888660017168</v>
      </c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</row>
  </sheetData>
  <customSheetViews>
    <customSheetView guid="{5507C501-9942-4310-9E0E-987180BD1180}">
      <selection sqref="A1:H1"/>
      <pageMargins left="0.7" right="0.7" top="0.75" bottom="0.75" header="0.3" footer="0.3"/>
    </customSheetView>
    <customSheetView guid="{54A0E5BB-5A66-4415-88CA-030F3BDE4337}" topLeftCell="A4">
      <selection activeCell="E21" sqref="E21"/>
      <pageMargins left="0.7" right="0.7" top="0.75" bottom="0.75" header="0.3" footer="0.3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scale="9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>
    <tabColor theme="0" tint="-4.9989318521683403E-2"/>
  </sheetPr>
  <dimension ref="A1:H26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3.6640625" customWidth="1"/>
    <col min="2" max="2" width="8.6640625" customWidth="1"/>
    <col min="3" max="3" width="6.33203125" bestFit="1" customWidth="1"/>
    <col min="4" max="4" width="8.6640625" customWidth="1"/>
    <col min="5" max="5" width="6.33203125" bestFit="1" customWidth="1"/>
    <col min="6" max="6" width="8.6640625" customWidth="1"/>
    <col min="7" max="7" width="6.33203125" bestFit="1" customWidth="1"/>
    <col min="8" max="8" width="8.77734375" customWidth="1"/>
    <col min="10" max="14" width="5.77734375" customWidth="1"/>
  </cols>
  <sheetData>
    <row r="1" spans="1:8" ht="14.4" hidden="1" customHeight="1" x14ac:dyDescent="0.3"/>
    <row r="3" spans="1:8" x14ac:dyDescent="0.3">
      <c r="A3" s="45" t="s">
        <v>262</v>
      </c>
      <c r="B3" s="45"/>
      <c r="C3" s="45"/>
      <c r="D3" s="45"/>
      <c r="E3" s="45"/>
      <c r="F3" s="45"/>
      <c r="G3" s="45"/>
      <c r="H3" s="260" t="s">
        <v>354</v>
      </c>
    </row>
    <row r="4" spans="1:8" x14ac:dyDescent="0.3">
      <c r="A4" s="755" t="s">
        <v>10</v>
      </c>
      <c r="B4" s="753" t="s">
        <v>610</v>
      </c>
      <c r="C4" s="754"/>
      <c r="D4" s="753" t="s">
        <v>617</v>
      </c>
      <c r="E4" s="754"/>
      <c r="F4" s="753" t="s">
        <v>619</v>
      </c>
      <c r="G4" s="754"/>
      <c r="H4" s="744" t="str">
        <f>IF(LEN(F4)&gt;5,"Индекс " &amp; MID(F4,1,2) &amp; "-" &amp; MID(F4,4,5) &amp; "/" &amp; D4,"Индекс " &amp; F4 &amp; "/" &amp; D4)</f>
        <v>Индекс 03-2025./2024.</v>
      </c>
    </row>
    <row r="5" spans="1:8" x14ac:dyDescent="0.3">
      <c r="A5" s="756"/>
      <c r="B5" s="544" t="s">
        <v>2</v>
      </c>
      <c r="C5" s="545" t="s">
        <v>3</v>
      </c>
      <c r="D5" s="544" t="s">
        <v>2</v>
      </c>
      <c r="E5" s="545" t="s">
        <v>3</v>
      </c>
      <c r="F5" s="544" t="s">
        <v>2</v>
      </c>
      <c r="G5" s="546" t="s">
        <v>3</v>
      </c>
      <c r="H5" s="738"/>
    </row>
    <row r="6" spans="1:8" ht="12" customHeight="1" x14ac:dyDescent="0.3">
      <c r="A6" s="383" t="s">
        <v>20</v>
      </c>
      <c r="B6" s="380">
        <f>B7+B8</f>
        <v>392.875</v>
      </c>
      <c r="C6" s="384">
        <f>IF(B$24&lt;&gt;0,ROUND(B6*100/B$24,1),0)</f>
        <v>15.3</v>
      </c>
      <c r="D6" s="380">
        <f>D7+D8</f>
        <v>418.238</v>
      </c>
      <c r="E6" s="384">
        <f>IF(D$24&lt;&gt;0,ROUND(D6*100/D$24,1),0)</f>
        <v>15.2</v>
      </c>
      <c r="F6" s="380">
        <f>F7+F8</f>
        <v>383.73699999999997</v>
      </c>
      <c r="G6" s="384">
        <f>IF(F$24&lt;&gt;0,ROUND(F6*100/F$24,1),0)</f>
        <v>13.1</v>
      </c>
      <c r="H6" s="382">
        <f>IF(D6&lt;&gt;0,F6/D6*100,"-")</f>
        <v>91.750869122365728</v>
      </c>
    </row>
    <row r="7" spans="1:8" ht="12" customHeight="1" x14ac:dyDescent="0.3">
      <c r="A7" s="89" t="s">
        <v>19</v>
      </c>
      <c r="B7" s="389">
        <v>233.82</v>
      </c>
      <c r="C7" s="388">
        <f t="shared" ref="C7:G23" si="0">IF(B$24&lt;&gt;0,ROUND(B7*100/B$24,1),0)</f>
        <v>9.1</v>
      </c>
      <c r="D7" s="389">
        <v>254.33</v>
      </c>
      <c r="E7" s="388">
        <f t="shared" si="0"/>
        <v>9.1999999999999993</v>
      </c>
      <c r="F7" s="389">
        <v>277.36799999999999</v>
      </c>
      <c r="G7" s="388">
        <f t="shared" si="0"/>
        <v>9.5</v>
      </c>
      <c r="H7" s="47">
        <f>IF(D7&lt;&gt;0,F7/D7*100,"-")</f>
        <v>109.05831006959461</v>
      </c>
    </row>
    <row r="8" spans="1:8" ht="12" customHeight="1" x14ac:dyDescent="0.3">
      <c r="A8" s="381" t="s">
        <v>482</v>
      </c>
      <c r="B8" s="389">
        <v>159.05500000000001</v>
      </c>
      <c r="C8" s="390">
        <f t="shared" si="0"/>
        <v>6.2</v>
      </c>
      <c r="D8" s="389">
        <v>163.90799999999999</v>
      </c>
      <c r="E8" s="390">
        <f>IF(D$24&lt;&gt;0,ROUND(D8*100/D$24,1),0)</f>
        <v>5.9</v>
      </c>
      <c r="F8" s="389">
        <v>106.369</v>
      </c>
      <c r="G8" s="390">
        <f t="shared" si="0"/>
        <v>3.6</v>
      </c>
      <c r="H8" s="391">
        <f t="shared" ref="H8" si="1">IF(D8&lt;&gt;0,F8/D8*100,"-")</f>
        <v>64.895551162847454</v>
      </c>
    </row>
    <row r="9" spans="1:8" ht="12" customHeight="1" x14ac:dyDescent="0.3">
      <c r="A9" s="383" t="s">
        <v>21</v>
      </c>
      <c r="B9" s="380">
        <f>B10+B11</f>
        <v>1463.6510000000001</v>
      </c>
      <c r="C9" s="384">
        <f>IF(B$24&lt;&gt;0,ROUND(B9*100/B$24,1),0)</f>
        <v>57.2</v>
      </c>
      <c r="D9" s="380">
        <f>D10+D11</f>
        <v>1567.54</v>
      </c>
      <c r="E9" s="384">
        <f>IF(D$24&lt;&gt;0,ROUND(D9*100/D$24,1),0)</f>
        <v>56.9</v>
      </c>
      <c r="F9" s="380">
        <f>F10+F11</f>
        <v>1573.3709999999999</v>
      </c>
      <c r="G9" s="384">
        <f>IF(F$24&lt;&gt;0,ROUND(F9*100/F$24,1),0)</f>
        <v>53.9</v>
      </c>
      <c r="H9" s="382">
        <f>IF(D9&lt;&gt;0,F9/D9*100,"-")</f>
        <v>100.37198412799673</v>
      </c>
    </row>
    <row r="10" spans="1:8" ht="12" customHeight="1" x14ac:dyDescent="0.3">
      <c r="A10" s="89" t="s">
        <v>19</v>
      </c>
      <c r="B10" s="389">
        <v>1463.6510000000001</v>
      </c>
      <c r="C10" s="388">
        <f t="shared" si="0"/>
        <v>57.2</v>
      </c>
      <c r="D10" s="389">
        <v>1453.5889999999999</v>
      </c>
      <c r="E10" s="388">
        <f t="shared" si="0"/>
        <v>52.7</v>
      </c>
      <c r="F10" s="389">
        <v>1531.28</v>
      </c>
      <c r="G10" s="388">
        <f t="shared" si="0"/>
        <v>52.4</v>
      </c>
      <c r="H10" s="47">
        <f t="shared" ref="H10:H11" si="2">IF(D10&lt;&gt;0,F10/D10*100,"-")</f>
        <v>105.34477077083</v>
      </c>
    </row>
    <row r="11" spans="1:8" ht="12" customHeight="1" x14ac:dyDescent="0.3">
      <c r="A11" s="381" t="s">
        <v>482</v>
      </c>
      <c r="B11" s="392">
        <v>0</v>
      </c>
      <c r="C11" s="390">
        <f t="shared" si="0"/>
        <v>0</v>
      </c>
      <c r="D11" s="392">
        <v>113.95099999999999</v>
      </c>
      <c r="E11" s="390">
        <f t="shared" si="0"/>
        <v>4.0999999999999996</v>
      </c>
      <c r="F11" s="392">
        <v>42.091000000000001</v>
      </c>
      <c r="G11" s="390">
        <f>IF(F$24&lt;&gt;0,ROUND(F11*100/F$24,1),0)</f>
        <v>1.4</v>
      </c>
      <c r="H11" s="391">
        <f t="shared" si="2"/>
        <v>36.937806601082926</v>
      </c>
    </row>
    <row r="12" spans="1:8" ht="12" customHeight="1" x14ac:dyDescent="0.3">
      <c r="A12" s="383" t="s">
        <v>22</v>
      </c>
      <c r="B12" s="380">
        <f>B13+B14</f>
        <v>29.857000000000003</v>
      </c>
      <c r="C12" s="384">
        <f>IF(B$24&lt;&gt;0,ROUND(B12*100/B$24,1),0)</f>
        <v>1.2</v>
      </c>
      <c r="D12" s="380">
        <f>D13+D14</f>
        <v>94.646999999999991</v>
      </c>
      <c r="E12" s="384">
        <f>IF(D$24&lt;&gt;0,ROUND(D12*100/D$24,1),0)</f>
        <v>3.4</v>
      </c>
      <c r="F12" s="380">
        <f>F13+F14</f>
        <v>61.119</v>
      </c>
      <c r="G12" s="384">
        <f>IF(F$24&lt;&gt;0,ROUND(F12*100/F$24,1),0)</f>
        <v>2.1</v>
      </c>
      <c r="H12" s="382">
        <f>IF(D12&lt;&gt;0,F12/D12*100,"-")</f>
        <v>64.575739326127618</v>
      </c>
    </row>
    <row r="13" spans="1:8" ht="12" customHeight="1" x14ac:dyDescent="0.3">
      <c r="A13" s="89" t="s">
        <v>19</v>
      </c>
      <c r="B13" s="389">
        <v>1.4139999999999999</v>
      </c>
      <c r="C13" s="388">
        <f t="shared" si="0"/>
        <v>0.1</v>
      </c>
      <c r="D13" s="389">
        <v>57.33</v>
      </c>
      <c r="E13" s="388">
        <f t="shared" si="0"/>
        <v>2.1</v>
      </c>
      <c r="F13" s="389">
        <v>0.70799999999999996</v>
      </c>
      <c r="G13" s="388">
        <f t="shared" si="0"/>
        <v>0</v>
      </c>
      <c r="H13" s="47">
        <f t="shared" ref="H13:H14" si="3">IF(D13&lt;&gt;0,F13/D13*100,"-")</f>
        <v>1.2349555206698064</v>
      </c>
    </row>
    <row r="14" spans="1:8" ht="12" customHeight="1" x14ac:dyDescent="0.3">
      <c r="A14" s="381" t="s">
        <v>482</v>
      </c>
      <c r="B14" s="392">
        <v>28.443000000000001</v>
      </c>
      <c r="C14" s="390">
        <f t="shared" si="0"/>
        <v>1.1000000000000001</v>
      </c>
      <c r="D14" s="392">
        <v>37.317</v>
      </c>
      <c r="E14" s="390">
        <f t="shared" si="0"/>
        <v>1.4</v>
      </c>
      <c r="F14" s="392">
        <v>60.411000000000001</v>
      </c>
      <c r="G14" s="390">
        <f t="shared" si="0"/>
        <v>2.1</v>
      </c>
      <c r="H14" s="391">
        <f t="shared" si="3"/>
        <v>161.88600369804647</v>
      </c>
    </row>
    <row r="15" spans="1:8" ht="12" customHeight="1" x14ac:dyDescent="0.3">
      <c r="A15" s="383" t="s">
        <v>23</v>
      </c>
      <c r="B15" s="380">
        <f>B16+B17</f>
        <v>673.65700000000004</v>
      </c>
      <c r="C15" s="384">
        <f>IF(B$24&lt;&gt;0,ROUND(B15*100/B$24,1),0)</f>
        <v>26.3</v>
      </c>
      <c r="D15" s="380">
        <f>D16+D17</f>
        <v>675.50599999999997</v>
      </c>
      <c r="E15" s="384">
        <f>IF(D$24&lt;&gt;0,ROUND(D15*100/D$24,1),0)</f>
        <v>24.5</v>
      </c>
      <c r="F15" s="380">
        <f>F16+F17</f>
        <v>902.37699999999995</v>
      </c>
      <c r="G15" s="384">
        <f>IF(F$24&lt;&gt;0,ROUND(F15*100/F$24,1),0)</f>
        <v>30.9</v>
      </c>
      <c r="H15" s="382">
        <f>IF(D15&lt;&gt;0,F15/D15*100,"-")</f>
        <v>133.58534195107075</v>
      </c>
    </row>
    <row r="16" spans="1:8" ht="12" customHeight="1" x14ac:dyDescent="0.3">
      <c r="A16" s="89" t="s">
        <v>19</v>
      </c>
      <c r="B16" s="389">
        <v>0</v>
      </c>
      <c r="C16" s="388">
        <f>IF(B$24&lt;&gt;0,ROUND(B16*100/B$24,1),0)</f>
        <v>0</v>
      </c>
      <c r="D16" s="389">
        <v>0</v>
      </c>
      <c r="E16" s="388">
        <f>IF(D$24&lt;&gt;0,ROUND(D16*100/D$24,1),0)</f>
        <v>0</v>
      </c>
      <c r="F16" s="389">
        <v>0</v>
      </c>
      <c r="G16" s="388">
        <f>IF(F$24&lt;&gt;0,ROUND(F16*100/F$24,1),0)</f>
        <v>0</v>
      </c>
      <c r="H16" s="47" t="str">
        <f t="shared" ref="H16:H17" si="4">IF(D16&lt;&gt;0,F16/D16*100,"-")</f>
        <v>-</v>
      </c>
    </row>
    <row r="17" spans="1:8" ht="12" customHeight="1" x14ac:dyDescent="0.3">
      <c r="A17" s="381" t="s">
        <v>482</v>
      </c>
      <c r="B17" s="392">
        <v>673.65700000000004</v>
      </c>
      <c r="C17" s="390">
        <f t="shared" si="0"/>
        <v>26.3</v>
      </c>
      <c r="D17" s="392">
        <v>675.50599999999997</v>
      </c>
      <c r="E17" s="390">
        <f t="shared" si="0"/>
        <v>24.5</v>
      </c>
      <c r="F17" s="392">
        <v>902.37699999999995</v>
      </c>
      <c r="G17" s="390">
        <f t="shared" si="0"/>
        <v>30.9</v>
      </c>
      <c r="H17" s="391">
        <f t="shared" si="4"/>
        <v>133.58534195107075</v>
      </c>
    </row>
    <row r="18" spans="1:8" ht="12" customHeight="1" x14ac:dyDescent="0.3">
      <c r="A18" s="383" t="s">
        <v>24</v>
      </c>
      <c r="B18" s="380">
        <f>B19+B20</f>
        <v>0</v>
      </c>
      <c r="C18" s="384">
        <f>IF(B$24&lt;&gt;0,ROUND(B18*100/B$24,1),0)</f>
        <v>0</v>
      </c>
      <c r="D18" s="380">
        <f>D19+D20</f>
        <v>0</v>
      </c>
      <c r="E18" s="384">
        <f>IF(D$24&lt;&gt;0,ROUND(D18*100/D$24,1),0)</f>
        <v>0</v>
      </c>
      <c r="F18" s="380">
        <f>F19+F20</f>
        <v>0</v>
      </c>
      <c r="G18" s="384">
        <f>IF(F$24&lt;&gt;0,ROUND(F18*100/F$24,1),0)</f>
        <v>0</v>
      </c>
      <c r="H18" s="382" t="str">
        <f>IF(D18&lt;&gt;0,F18/D18*100,"-")</f>
        <v>-</v>
      </c>
    </row>
    <row r="19" spans="1:8" ht="12" customHeight="1" x14ac:dyDescent="0.3">
      <c r="A19" s="89" t="s">
        <v>19</v>
      </c>
      <c r="B19" s="389">
        <v>0</v>
      </c>
      <c r="C19" s="388">
        <f t="shared" si="0"/>
        <v>0</v>
      </c>
      <c r="D19" s="389">
        <v>0</v>
      </c>
      <c r="E19" s="388">
        <f t="shared" si="0"/>
        <v>0</v>
      </c>
      <c r="F19" s="389">
        <v>0</v>
      </c>
      <c r="G19" s="388">
        <f t="shared" si="0"/>
        <v>0</v>
      </c>
      <c r="H19" s="47" t="str">
        <f t="shared" ref="H19:H20" si="5">IF(D19&lt;&gt;0,F19/D19*100,"-")</f>
        <v>-</v>
      </c>
    </row>
    <row r="20" spans="1:8" ht="12" customHeight="1" x14ac:dyDescent="0.3">
      <c r="A20" s="381" t="s">
        <v>482</v>
      </c>
      <c r="B20" s="392">
        <v>0</v>
      </c>
      <c r="C20" s="390">
        <f t="shared" si="0"/>
        <v>0</v>
      </c>
      <c r="D20" s="392">
        <v>0</v>
      </c>
      <c r="E20" s="390">
        <f t="shared" si="0"/>
        <v>0</v>
      </c>
      <c r="F20" s="392">
        <v>0</v>
      </c>
      <c r="G20" s="390">
        <f t="shared" si="0"/>
        <v>0</v>
      </c>
      <c r="H20" s="391" t="str">
        <f t="shared" si="5"/>
        <v>-</v>
      </c>
    </row>
    <row r="21" spans="1:8" ht="12" customHeight="1" x14ac:dyDescent="0.3">
      <c r="A21" s="383" t="s">
        <v>25</v>
      </c>
      <c r="B21" s="380">
        <f>B22+B23</f>
        <v>0</v>
      </c>
      <c r="C21" s="384">
        <f>IF(B$24&lt;&gt;0,ROUND(B21*100/B$24,1),0)</f>
        <v>0</v>
      </c>
      <c r="D21" s="380">
        <f>D22+D23</f>
        <v>0</v>
      </c>
      <c r="E21" s="384">
        <f>IF(D$24&lt;&gt;0,ROUND(D21*100/D$24,1),0)</f>
        <v>0</v>
      </c>
      <c r="F21" s="380">
        <f>F22+F23</f>
        <v>0</v>
      </c>
      <c r="G21" s="384">
        <f>IF(F$24&lt;&gt;0,ROUND(F21*100/F$24,1),0)</f>
        <v>0</v>
      </c>
      <c r="H21" s="382" t="str">
        <f>IF(D21&lt;&gt;0,F21/D21*100,"-")</f>
        <v>-</v>
      </c>
    </row>
    <row r="22" spans="1:8" ht="12" customHeight="1" x14ac:dyDescent="0.3">
      <c r="A22" s="89" t="s">
        <v>19</v>
      </c>
      <c r="B22" s="389">
        <v>0</v>
      </c>
      <c r="C22" s="388">
        <f t="shared" si="0"/>
        <v>0</v>
      </c>
      <c r="D22" s="389">
        <v>0</v>
      </c>
      <c r="E22" s="388">
        <f t="shared" si="0"/>
        <v>0</v>
      </c>
      <c r="F22" s="389">
        <v>0</v>
      </c>
      <c r="G22" s="388">
        <f t="shared" si="0"/>
        <v>0</v>
      </c>
      <c r="H22" s="47" t="str">
        <f t="shared" ref="H22:H23" si="6">IF(D22&lt;&gt;0,F22/D22*100,"-")</f>
        <v>-</v>
      </c>
    </row>
    <row r="23" spans="1:8" ht="12" customHeight="1" x14ac:dyDescent="0.3">
      <c r="A23" s="89" t="s">
        <v>482</v>
      </c>
      <c r="B23" s="389">
        <v>0</v>
      </c>
      <c r="C23" s="388">
        <f t="shared" si="0"/>
        <v>0</v>
      </c>
      <c r="D23" s="389">
        <v>0</v>
      </c>
      <c r="E23" s="388">
        <f t="shared" si="0"/>
        <v>0</v>
      </c>
      <c r="F23" s="389">
        <v>0</v>
      </c>
      <c r="G23" s="388">
        <f t="shared" si="0"/>
        <v>0</v>
      </c>
      <c r="H23" s="509" t="str">
        <f t="shared" si="6"/>
        <v>-</v>
      </c>
    </row>
    <row r="24" spans="1:8" ht="12" customHeight="1" x14ac:dyDescent="0.3">
      <c r="A24" s="510" t="s">
        <v>30</v>
      </c>
      <c r="B24" s="511">
        <f>SUM(B25:B26)</f>
        <v>2560.04</v>
      </c>
      <c r="C24" s="513">
        <f>C25+C26</f>
        <v>100</v>
      </c>
      <c r="D24" s="511">
        <f>SUM(D25:D26)</f>
        <v>2755.9309999999996</v>
      </c>
      <c r="E24" s="513">
        <f>E25+E26</f>
        <v>100</v>
      </c>
      <c r="F24" s="511">
        <f>SUM(F25:F26)</f>
        <v>2920.6040000000003</v>
      </c>
      <c r="G24" s="513">
        <f>G25+G26</f>
        <v>100</v>
      </c>
      <c r="H24" s="512">
        <f>IF(D24&lt;&gt;0,F24/D24*100,"-")</f>
        <v>105.97522216630244</v>
      </c>
    </row>
    <row r="25" spans="1:8" ht="12" customHeight="1" x14ac:dyDescent="0.3">
      <c r="A25" s="89" t="s">
        <v>19</v>
      </c>
      <c r="B25" s="389">
        <f>B7+B10+B13+B16+B19+B22</f>
        <v>1698.885</v>
      </c>
      <c r="C25" s="388">
        <f>IF(B$24&lt;&gt;0,ROUND(B25*100/B$24,1),0)</f>
        <v>66.400000000000006</v>
      </c>
      <c r="D25" s="389">
        <f>D7+D10+D13+D16+D19+D22</f>
        <v>1765.2489999999998</v>
      </c>
      <c r="E25" s="388">
        <f>IF(D$24&lt;&gt;0,ROUND(D25*100/D$24,1),0)</f>
        <v>64.099999999999994</v>
      </c>
      <c r="F25" s="389">
        <f>F7+F10+F13+F16+F19+F22</f>
        <v>1809.356</v>
      </c>
      <c r="G25" s="388">
        <f>IF(F$24&lt;&gt;0,ROUND(F25*100/F$24,1),0)</f>
        <v>62</v>
      </c>
      <c r="H25" s="47">
        <f t="shared" ref="H25:H26" si="7">IF(D25&lt;&gt;0,F25/D25*100,"-")</f>
        <v>102.49862767235672</v>
      </c>
    </row>
    <row r="26" spans="1:8" ht="12" customHeight="1" thickBot="1" x14ac:dyDescent="0.35">
      <c r="A26" s="466" t="s">
        <v>482</v>
      </c>
      <c r="B26" s="394">
        <f>B8+B11+B14+B17+B20+B23</f>
        <v>861.15500000000009</v>
      </c>
      <c r="C26" s="514">
        <f>IF(B$24&lt;&gt;0,ROUND(B26*100/B$24,1),0)</f>
        <v>33.6</v>
      </c>
      <c r="D26" s="394">
        <f>D8+D11+D14+D17+D20+D23</f>
        <v>990.68200000000002</v>
      </c>
      <c r="E26" s="514">
        <f>IF(D$24&lt;&gt;0,ROUND(D26*100/D$24,1),0)</f>
        <v>35.9</v>
      </c>
      <c r="F26" s="394">
        <f>F8+F11+F14+F17+F20+F23</f>
        <v>1111.248</v>
      </c>
      <c r="G26" s="514">
        <f>IF(F$24&lt;&gt;0,ROUND(F26*100/F$24,1),0)</f>
        <v>38</v>
      </c>
      <c r="H26" s="393">
        <f t="shared" si="7"/>
        <v>112.17000006056435</v>
      </c>
    </row>
  </sheetData>
  <customSheetViews>
    <customSheetView guid="{5507C501-9942-4310-9E0E-987180BD1180}">
      <selection activeCell="L14" sqref="L14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K10" sqref="K10"/>
      <pageMargins left="0.7" right="0.7" top="0.75" bottom="0.75" header="0.3" footer="0.3"/>
      <pageSetup paperSize="9" orientation="portrait" verticalDpi="0" r:id="rId2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paperSize="9" scale="91" orientation="portrait" verticalDpi="0" r:id="rId3"/>
  <ignoredErrors>
    <ignoredError sqref="C9:H9 C6:E6 F6:H6 C7 E7 G7:H7 C8 E8 C12:H12 C10 E10 C11 E11 C15:H15 C13 E13 C14 E14 C18:H18 C16 E16 C17 E17 C21:H21 C19 E19 C20 E20 C24:H26 C22 E22 C23 E23 G8:H8 G10:H10 G11:H11 G13:H13 G14:H14 G16:H16 G17:H17 G19:H19 G20:H20 G22:H22 G23:H23" formula="1"/>
  </ignoredErrors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3"/>
  <dimension ref="A1:FV14"/>
  <sheetViews>
    <sheetView showGridLines="0" topLeftCell="A2" zoomScaleNormal="100" workbookViewId="0">
      <selection activeCell="A3" sqref="A3"/>
    </sheetView>
  </sheetViews>
  <sheetFormatPr defaultColWidth="9.109375" defaultRowHeight="14.4" x14ac:dyDescent="0.3"/>
  <cols>
    <col min="1" max="1" width="32.33203125" customWidth="1"/>
    <col min="2" max="2" width="10.88671875" customWidth="1"/>
    <col min="3" max="3" width="5.5546875" customWidth="1"/>
    <col min="4" max="4" width="11.33203125" customWidth="1"/>
    <col min="5" max="5" width="5.5546875" customWidth="1"/>
    <col min="6" max="6" width="10.5546875" customWidth="1"/>
    <col min="7" max="7" width="5.5546875" customWidth="1"/>
    <col min="8" max="8" width="8.77734375" style="30" customWidth="1"/>
    <col min="9" max="14" width="5.77734375" customWidth="1"/>
  </cols>
  <sheetData>
    <row r="1" spans="1:178" ht="15" hidden="1" customHeight="1" thickBot="1" x14ac:dyDescent="0.35">
      <c r="A1" s="87"/>
    </row>
    <row r="3" spans="1:178" x14ac:dyDescent="0.3">
      <c r="A3" s="45" t="s">
        <v>263</v>
      </c>
      <c r="B3" s="45"/>
      <c r="C3" s="45"/>
      <c r="D3" s="45"/>
      <c r="E3" s="45"/>
      <c r="F3" s="45"/>
      <c r="G3" s="45"/>
      <c r="H3" s="64" t="s">
        <v>354</v>
      </c>
    </row>
    <row r="4" spans="1:178" ht="14.4" customHeight="1" x14ac:dyDescent="0.3">
      <c r="A4" s="728" t="s">
        <v>10</v>
      </c>
      <c r="B4" s="753" t="s">
        <v>610</v>
      </c>
      <c r="C4" s="754"/>
      <c r="D4" s="753" t="s">
        <v>617</v>
      </c>
      <c r="E4" s="754"/>
      <c r="F4" s="757" t="s">
        <v>619</v>
      </c>
      <c r="G4" s="758"/>
      <c r="H4" s="742" t="str">
        <f>IF(LEN(F4)&gt;5,"Индекс " &amp; MID(F4,1,2) &amp; "-" &amp; MID(F4,4,5) &amp; "/" &amp; D4,"Индекс " &amp; F4 &amp; "/" &amp; D4)</f>
        <v>Индекс 03-2025./2024.</v>
      </c>
    </row>
    <row r="5" spans="1:178" x14ac:dyDescent="0.3">
      <c r="A5" s="729"/>
      <c r="B5" s="148" t="s">
        <v>2</v>
      </c>
      <c r="C5" s="149" t="s">
        <v>3</v>
      </c>
      <c r="D5" s="148" t="s">
        <v>2</v>
      </c>
      <c r="E5" s="149" t="s">
        <v>3</v>
      </c>
      <c r="F5" s="148" t="s">
        <v>2</v>
      </c>
      <c r="G5" s="149" t="s">
        <v>3</v>
      </c>
      <c r="H5" s="752"/>
    </row>
    <row r="6" spans="1:178" ht="14.1" customHeight="1" x14ac:dyDescent="0.3">
      <c r="A6" s="52" t="s">
        <v>446</v>
      </c>
      <c r="B6" s="53">
        <v>495.464</v>
      </c>
      <c r="C6" s="354">
        <f>IF($B$14&lt;&gt;0,B6*100/$B$14,0)</f>
        <v>8.1806403421886049</v>
      </c>
      <c r="D6" s="53">
        <v>554.67399999999998</v>
      </c>
      <c r="E6" s="354">
        <f>IF($D$14&lt;&gt;0,D6*100/$D$14,0)</f>
        <v>8.2846974748785058</v>
      </c>
      <c r="F6" s="53">
        <v>536.05600000000004</v>
      </c>
      <c r="G6" s="354">
        <f>IF($F$14&lt;&gt;0,F6*100/$F$14,0)</f>
        <v>7.9999379174158367</v>
      </c>
      <c r="H6" s="47">
        <f>IF(D6&lt;&gt;0,F6/D6*100,"-")</f>
        <v>96.643433800755048</v>
      </c>
    </row>
    <row r="7" spans="1:178" ht="14.1" customHeight="1" x14ac:dyDescent="0.3">
      <c r="A7" s="52" t="s">
        <v>359</v>
      </c>
      <c r="B7" s="53">
        <v>341.834</v>
      </c>
      <c r="C7" s="354">
        <f>IF($B$14&lt;&gt;0,B7*100/$B$14,0)</f>
        <v>5.6440447958513627</v>
      </c>
      <c r="D7" s="53">
        <v>474.71800000000002</v>
      </c>
      <c r="E7" s="354">
        <f t="shared" ref="E7:E13" si="0">IF($D$14&lt;&gt;0,D7*100/$D$14,0)</f>
        <v>7.0904621739605158</v>
      </c>
      <c r="F7" s="53">
        <v>427.334</v>
      </c>
      <c r="G7" s="354">
        <f t="shared" ref="G7:G13" si="1">IF($F$14&lt;&gt;0,F7*100/$F$14,0)</f>
        <v>6.3774036108186065</v>
      </c>
      <c r="H7" s="47">
        <f>IF(D7&lt;&gt;0,F7/D7*100,"-")</f>
        <v>90.018495190829086</v>
      </c>
    </row>
    <row r="8" spans="1:178" ht="14.1" customHeight="1" x14ac:dyDescent="0.3">
      <c r="A8" s="52" t="s">
        <v>360</v>
      </c>
      <c r="B8" s="53">
        <v>2098.8150000000001</v>
      </c>
      <c r="C8" s="354">
        <f t="shared" ref="C8:C13" si="2">IF($B$14&lt;&gt;0,B8*100/$B$14,0)</f>
        <v>34.653679500005197</v>
      </c>
      <c r="D8" s="53">
        <v>2266.9110000000001</v>
      </c>
      <c r="E8" s="354">
        <f t="shared" si="0"/>
        <v>33.85893666815879</v>
      </c>
      <c r="F8" s="53">
        <v>2260.7049999999999</v>
      </c>
      <c r="G8" s="354">
        <f t="shared" si="1"/>
        <v>33.738078949944722</v>
      </c>
      <c r="H8" s="47">
        <f>IF(D8&lt;&gt;0,F8/D8*100,"-")</f>
        <v>99.726235392567247</v>
      </c>
    </row>
    <row r="9" spans="1:178" ht="14.1" customHeight="1" x14ac:dyDescent="0.3">
      <c r="A9" s="52" t="s">
        <v>361</v>
      </c>
      <c r="B9" s="53">
        <v>12.942</v>
      </c>
      <c r="C9" s="354">
        <f t="shared" si="2"/>
        <v>0.21368625633467803</v>
      </c>
      <c r="D9" s="53">
        <v>9.85</v>
      </c>
      <c r="E9" s="354">
        <f t="shared" si="0"/>
        <v>0.14712113805145596</v>
      </c>
      <c r="F9" s="53">
        <v>9.875</v>
      </c>
      <c r="G9" s="354">
        <f t="shared" si="1"/>
        <v>0.1473715188981774</v>
      </c>
      <c r="H9" s="47">
        <f>IF(D9&lt;&gt;0,F9/D9*100,"-")</f>
        <v>100.253807106599</v>
      </c>
    </row>
    <row r="10" spans="1:178" ht="14.1" customHeight="1" x14ac:dyDescent="0.3">
      <c r="A10" s="52" t="s">
        <v>362</v>
      </c>
      <c r="B10" s="53">
        <v>0</v>
      </c>
      <c r="C10" s="354">
        <f t="shared" si="2"/>
        <v>0</v>
      </c>
      <c r="D10" s="53">
        <v>0</v>
      </c>
      <c r="E10" s="354">
        <f t="shared" si="0"/>
        <v>0</v>
      </c>
      <c r="F10" s="53">
        <v>0</v>
      </c>
      <c r="G10" s="354">
        <f t="shared" si="1"/>
        <v>0</v>
      </c>
      <c r="H10" s="47" t="str">
        <f t="shared" ref="H10:H13" si="3">IF(D10&lt;&gt;0,F10/D10*100,"-")</f>
        <v>-</v>
      </c>
    </row>
    <row r="11" spans="1:178" ht="14.1" customHeight="1" x14ac:dyDescent="0.3">
      <c r="A11" s="52" t="s">
        <v>363</v>
      </c>
      <c r="B11" s="53">
        <v>68.075999999999993</v>
      </c>
      <c r="C11" s="354">
        <f t="shared" si="2"/>
        <v>1.1240075402750378</v>
      </c>
      <c r="D11" s="53">
        <v>74.546000000000006</v>
      </c>
      <c r="E11" s="354">
        <f t="shared" si="0"/>
        <v>1.1134306961607956</v>
      </c>
      <c r="F11" s="53">
        <v>71.8</v>
      </c>
      <c r="G11" s="354">
        <f t="shared" si="1"/>
        <v>1.071521524748267</v>
      </c>
      <c r="H11" s="47">
        <f>IF(D11&lt;&gt;0,F11/D11*100,"-")</f>
        <v>96.316368416816445</v>
      </c>
    </row>
    <row r="12" spans="1:178" ht="14.1" customHeight="1" x14ac:dyDescent="0.3">
      <c r="A12" s="52" t="s">
        <v>448</v>
      </c>
      <c r="B12" s="53">
        <v>3017.951</v>
      </c>
      <c r="C12" s="354">
        <f t="shared" si="2"/>
        <v>49.829597511319569</v>
      </c>
      <c r="D12" s="53">
        <v>3303.2629999999999</v>
      </c>
      <c r="E12" s="354">
        <f t="shared" si="0"/>
        <v>49.338051963783407</v>
      </c>
      <c r="F12" s="53">
        <v>3384.5929999999998</v>
      </c>
      <c r="G12" s="354">
        <f t="shared" si="1"/>
        <v>50.510644178444444</v>
      </c>
      <c r="H12" s="47">
        <f>IF(D12&lt;&gt;0,F12/D12*100,"-")</f>
        <v>102.46211094908277</v>
      </c>
    </row>
    <row r="13" spans="1:178" ht="14.1" customHeight="1" x14ac:dyDescent="0.3">
      <c r="A13" s="52" t="s">
        <v>150</v>
      </c>
      <c r="B13" s="53">
        <v>21.460999999999999</v>
      </c>
      <c r="C13" s="354">
        <f t="shared" si="2"/>
        <v>0.35434405402553892</v>
      </c>
      <c r="D13" s="53">
        <v>11.201000000000001</v>
      </c>
      <c r="E13" s="354">
        <f t="shared" si="0"/>
        <v>0.16729988500653387</v>
      </c>
      <c r="F13" s="53">
        <v>10.388999999999999</v>
      </c>
      <c r="G13" s="354">
        <f t="shared" si="1"/>
        <v>0.15504229972994074</v>
      </c>
      <c r="H13" s="47">
        <f t="shared" si="3"/>
        <v>92.750647263637163</v>
      </c>
    </row>
    <row r="14" spans="1:178" s="2" customFormat="1" ht="14.1" customHeight="1" thickBot="1" x14ac:dyDescent="0.35">
      <c r="A14" s="80" t="s">
        <v>30</v>
      </c>
      <c r="B14" s="81">
        <f>SUM(B6:B13)</f>
        <v>6056.5430000000006</v>
      </c>
      <c r="C14" s="355">
        <f>SUM(C6:C13)</f>
        <v>100</v>
      </c>
      <c r="D14" s="81">
        <f>SUM(D6:D13)</f>
        <v>6695.1629999999996</v>
      </c>
      <c r="E14" s="355">
        <f>SUM(E6:E13)</f>
        <v>100</v>
      </c>
      <c r="F14" s="81">
        <f>SUM(F6:F13)</f>
        <v>6700.7520000000004</v>
      </c>
      <c r="G14" s="355">
        <f t="shared" ref="G14" si="4">SUM(G6:G13)</f>
        <v>99.999999999999986</v>
      </c>
      <c r="H14" s="82">
        <f>IF(D14&lt;&gt;0,F14/D14*100,"-")</f>
        <v>100.08347817670757</v>
      </c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</sheetData>
  <customSheetViews>
    <customSheetView guid="{5507C501-9942-4310-9E0E-987180BD1180}">
      <selection sqref="A1:H1"/>
      <pageMargins left="0.7" right="0.7" top="0.75" bottom="0.75" header="0.3" footer="0.3"/>
    </customSheetView>
    <customSheetView guid="{54A0E5BB-5A66-4415-88CA-030F3BDE4337}">
      <selection activeCell="H14" sqref="H14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B14 D14 F14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9"/>
  <dimension ref="A1:FQ14"/>
  <sheetViews>
    <sheetView showGridLines="0" topLeftCell="A2" zoomScaleNormal="100" workbookViewId="0">
      <selection activeCell="A3" sqref="A3"/>
    </sheetView>
  </sheetViews>
  <sheetFormatPr defaultColWidth="8.6640625" defaultRowHeight="14.4" x14ac:dyDescent="0.3"/>
  <cols>
    <col min="1" max="1" width="22.88671875" customWidth="1"/>
    <col min="2" max="3" width="7.6640625" customWidth="1"/>
    <col min="4" max="4" width="5.88671875" customWidth="1"/>
    <col min="5" max="6" width="7.6640625" customWidth="1"/>
    <col min="7" max="7" width="6.44140625" customWidth="1"/>
    <col min="8" max="9" width="7.6640625" customWidth="1"/>
    <col min="10" max="10" width="7" customWidth="1"/>
    <col min="11" max="16384" width="8.6640625" style="3"/>
  </cols>
  <sheetData>
    <row r="1" spans="1:173" hidden="1" x14ac:dyDescent="0.3">
      <c r="A1" s="87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x14ac:dyDescent="0.3">
      <c r="A2" s="87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x14ac:dyDescent="0.3">
      <c r="A3" s="45" t="s">
        <v>311</v>
      </c>
      <c r="B3" s="45"/>
      <c r="C3" s="45"/>
      <c r="D3" s="45"/>
      <c r="E3" s="45"/>
      <c r="F3" s="45"/>
      <c r="G3" s="45"/>
      <c r="H3" s="78"/>
      <c r="I3" s="763" t="s">
        <v>354</v>
      </c>
      <c r="J3" s="764" t="s">
        <v>11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24.75" customHeight="1" x14ac:dyDescent="0.3">
      <c r="A4" s="728" t="s">
        <v>10</v>
      </c>
      <c r="B4" s="760" t="s">
        <v>79</v>
      </c>
      <c r="C4" s="761"/>
      <c r="D4" s="761"/>
      <c r="E4" s="760" t="s">
        <v>27</v>
      </c>
      <c r="F4" s="761"/>
      <c r="G4" s="761" t="s">
        <v>14</v>
      </c>
      <c r="H4" s="760" t="s">
        <v>26</v>
      </c>
      <c r="I4" s="761"/>
      <c r="J4" s="762" t="s">
        <v>14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15" customHeight="1" x14ac:dyDescent="0.3">
      <c r="A5" s="759"/>
      <c r="B5" s="123" t="s">
        <v>617</v>
      </c>
      <c r="C5" s="124" t="s">
        <v>619</v>
      </c>
      <c r="D5" s="122" t="s">
        <v>9</v>
      </c>
      <c r="E5" s="123" t="s">
        <v>617</v>
      </c>
      <c r="F5" s="124" t="s">
        <v>619</v>
      </c>
      <c r="G5" s="122" t="s">
        <v>9</v>
      </c>
      <c r="H5" s="123" t="s">
        <v>617</v>
      </c>
      <c r="I5" s="124" t="s">
        <v>619</v>
      </c>
      <c r="J5" s="121" t="s">
        <v>9</v>
      </c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s="10" customFormat="1" ht="13.2" customHeight="1" x14ac:dyDescent="0.3">
      <c r="A6" s="52" t="s">
        <v>446</v>
      </c>
      <c r="B6" s="467">
        <v>8.4339999999999993</v>
      </c>
      <c r="C6" s="462">
        <v>7.5110000000000001</v>
      </c>
      <c r="D6" s="468">
        <f>IF(B6&lt;&gt;0,C6/B6*100,"-")</f>
        <v>89.056201090822867</v>
      </c>
      <c r="E6" s="467">
        <v>545.19399999999996</v>
      </c>
      <c r="F6" s="462">
        <v>527.30600000000004</v>
      </c>
      <c r="G6" s="469">
        <f>IF(E6&lt;&gt;0,F6/E6*100,"-")</f>
        <v>96.718966092803683</v>
      </c>
      <c r="H6" s="467">
        <v>1.046</v>
      </c>
      <c r="I6" s="462">
        <v>1.2390000000000001</v>
      </c>
      <c r="J6" s="470">
        <f>IF(H6&lt;&gt;0,I6/H6*100,"-")</f>
        <v>118.45124282982793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s="10" customFormat="1" ht="13.2" customHeight="1" x14ac:dyDescent="0.3">
      <c r="A7" s="52" t="s">
        <v>359</v>
      </c>
      <c r="B7" s="471">
        <v>144.654</v>
      </c>
      <c r="C7" s="68">
        <v>76.988</v>
      </c>
      <c r="D7" s="470">
        <f t="shared" ref="D7:D14" si="0">IF(B7&lt;&gt;0,C7/B7*100,"-")</f>
        <v>53.222171526539185</v>
      </c>
      <c r="E7" s="471">
        <v>329.447</v>
      </c>
      <c r="F7" s="68">
        <v>349.22500000000002</v>
      </c>
      <c r="G7" s="469">
        <f t="shared" ref="G7:G14" si="1">IF(E7&lt;&gt;0,F7/E7*100,"-")</f>
        <v>106.00339356558111</v>
      </c>
      <c r="H7" s="471">
        <v>0.61699999999999999</v>
      </c>
      <c r="I7" s="68">
        <v>1.121</v>
      </c>
      <c r="J7" s="470">
        <f t="shared" ref="J7:J14" si="2">IF(H7&lt;&gt;0,I7/H7*100,"-")</f>
        <v>181.68557536466773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s="15" customFormat="1" ht="13.2" customHeight="1" x14ac:dyDescent="0.3">
      <c r="A8" s="52" t="s">
        <v>360</v>
      </c>
      <c r="B8" s="471">
        <v>605.23599999999999</v>
      </c>
      <c r="C8" s="68">
        <v>613.82600000000002</v>
      </c>
      <c r="D8" s="470">
        <f t="shared" si="0"/>
        <v>101.41928107382905</v>
      </c>
      <c r="E8" s="471">
        <v>1597.067</v>
      </c>
      <c r="F8" s="68">
        <v>1565.289</v>
      </c>
      <c r="G8" s="469">
        <f t="shared" si="1"/>
        <v>98.010227498282788</v>
      </c>
      <c r="H8" s="471">
        <v>64.608000000000004</v>
      </c>
      <c r="I8" s="68">
        <v>81.59</v>
      </c>
      <c r="J8" s="470">
        <f t="shared" si="2"/>
        <v>126.28467062902426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s="10" customFormat="1" ht="13.2" customHeight="1" x14ac:dyDescent="0.3">
      <c r="A9" s="52" t="s">
        <v>361</v>
      </c>
      <c r="B9" s="471">
        <v>0.747</v>
      </c>
      <c r="C9" s="68">
        <v>0.80100000000000005</v>
      </c>
      <c r="D9" s="470">
        <f t="shared" si="0"/>
        <v>107.22891566265061</v>
      </c>
      <c r="E9" s="471">
        <v>9.0389999999999997</v>
      </c>
      <c r="F9" s="68">
        <v>9.0009999999999994</v>
      </c>
      <c r="G9" s="469">
        <f t="shared" si="1"/>
        <v>99.579599513220487</v>
      </c>
      <c r="H9" s="471">
        <v>6.4000000000000001E-2</v>
      </c>
      <c r="I9" s="68">
        <v>7.2999999999999995E-2</v>
      </c>
      <c r="J9" s="470">
        <f t="shared" si="2"/>
        <v>114.0625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s="15" customFormat="1" ht="13.2" customHeight="1" x14ac:dyDescent="0.3">
      <c r="A10" s="52" t="s">
        <v>362</v>
      </c>
      <c r="B10" s="471">
        <v>0</v>
      </c>
      <c r="C10" s="68">
        <v>0</v>
      </c>
      <c r="D10" s="470" t="str">
        <f t="shared" si="0"/>
        <v>-</v>
      </c>
      <c r="E10" s="471">
        <v>0</v>
      </c>
      <c r="F10" s="68">
        <v>0</v>
      </c>
      <c r="G10" s="469" t="str">
        <f t="shared" si="1"/>
        <v>-</v>
      </c>
      <c r="H10" s="471">
        <v>0</v>
      </c>
      <c r="I10" s="68">
        <v>0</v>
      </c>
      <c r="J10" s="470" t="str">
        <f t="shared" si="2"/>
        <v>-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s="10" customFormat="1" ht="13.2" customHeight="1" x14ac:dyDescent="0.3">
      <c r="A11" s="52" t="s">
        <v>363</v>
      </c>
      <c r="B11" s="471">
        <v>16.16</v>
      </c>
      <c r="C11" s="68">
        <v>7.6440000000000001</v>
      </c>
      <c r="D11" s="470">
        <f t="shared" si="0"/>
        <v>47.301980198019798</v>
      </c>
      <c r="E11" s="471">
        <v>58.386000000000003</v>
      </c>
      <c r="F11" s="68">
        <v>64.156000000000006</v>
      </c>
      <c r="G11" s="469">
        <f t="shared" si="1"/>
        <v>109.88250608022472</v>
      </c>
      <c r="H11" s="471">
        <v>0</v>
      </c>
      <c r="I11" s="68">
        <v>0</v>
      </c>
      <c r="J11" s="470" t="str">
        <f t="shared" si="2"/>
        <v>-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s="15" customFormat="1" ht="13.2" customHeight="1" x14ac:dyDescent="0.3">
      <c r="A12" s="52" t="s">
        <v>448</v>
      </c>
      <c r="B12" s="471">
        <v>194.11500000000001</v>
      </c>
      <c r="C12" s="68">
        <v>198.375</v>
      </c>
      <c r="D12" s="470">
        <f t="shared" si="0"/>
        <v>102.19457538057337</v>
      </c>
      <c r="E12" s="471">
        <v>3061.8629999999998</v>
      </c>
      <c r="F12" s="68">
        <v>3136.1590000000001</v>
      </c>
      <c r="G12" s="469">
        <f t="shared" si="1"/>
        <v>102.4264965480167</v>
      </c>
      <c r="H12" s="471">
        <v>47.284999999999997</v>
      </c>
      <c r="I12" s="68">
        <v>50.058999999999997</v>
      </c>
      <c r="J12" s="470">
        <f t="shared" si="2"/>
        <v>105.8665538754362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s="15" customFormat="1" ht="13.2" customHeight="1" x14ac:dyDescent="0.3">
      <c r="A13" s="52" t="s">
        <v>150</v>
      </c>
      <c r="B13" s="471">
        <v>0.624</v>
      </c>
      <c r="C13" s="68">
        <v>0.28799999999999998</v>
      </c>
      <c r="D13" s="470">
        <f t="shared" si="0"/>
        <v>46.153846153846153</v>
      </c>
      <c r="E13" s="471">
        <v>9.4890000000000008</v>
      </c>
      <c r="F13" s="68">
        <v>8.8249999999999993</v>
      </c>
      <c r="G13" s="469">
        <f t="shared" si="1"/>
        <v>93.002423859205379</v>
      </c>
      <c r="H13" s="471">
        <v>1.0880000000000001</v>
      </c>
      <c r="I13" s="68">
        <v>1.276</v>
      </c>
      <c r="J13" s="470">
        <f t="shared" si="2"/>
        <v>117.27941176470587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s="16" customFormat="1" ht="14.1" customHeight="1" thickBot="1" x14ac:dyDescent="0.35">
      <c r="A14" s="80" t="s">
        <v>30</v>
      </c>
      <c r="B14" s="472">
        <f>SUM(B6:B13)</f>
        <v>969.96999999999991</v>
      </c>
      <c r="C14" s="277">
        <f>SUM(C6:C13)</f>
        <v>905.43300000000011</v>
      </c>
      <c r="D14" s="82">
        <f t="shared" si="0"/>
        <v>93.3464952524305</v>
      </c>
      <c r="E14" s="472">
        <f>SUM(E6:E13)</f>
        <v>5610.4849999999997</v>
      </c>
      <c r="F14" s="277">
        <f>SUM(F6:F13)</f>
        <v>5659.9610000000002</v>
      </c>
      <c r="G14" s="82">
        <f t="shared" si="1"/>
        <v>100.88184889541635</v>
      </c>
      <c r="H14" s="81">
        <f t="shared" ref="H14:I14" si="3">SUM(H6:H13)</f>
        <v>114.70799999999998</v>
      </c>
      <c r="I14" s="277">
        <f t="shared" si="3"/>
        <v>135.358</v>
      </c>
      <c r="J14" s="82">
        <f t="shared" si="2"/>
        <v>118.00223175367022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</sheetData>
  <sortState xmlns:xlrd2="http://schemas.microsoft.com/office/spreadsheetml/2017/richdata2" ref="A30:H37">
    <sortCondition ref="H30:H37"/>
  </sortState>
  <customSheetViews>
    <customSheetView guid="{5507C501-9942-4310-9E0E-987180BD1180}">
      <selection activeCell="L19" sqref="L19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16" sqref="A16:XFD16"/>
      <pageMargins left="0.7" right="0.7" top="0.75" bottom="0.75" header="0.3" footer="0.3"/>
      <pageSetup paperSize="9" orientation="portrait" verticalDpi="0" r:id="rId2"/>
    </customSheetView>
  </customSheetViews>
  <mergeCells count="5">
    <mergeCell ref="A4:A5"/>
    <mergeCell ref="B4:D4"/>
    <mergeCell ref="E4:G4"/>
    <mergeCell ref="H4:J4"/>
    <mergeCell ref="I3:J3"/>
  </mergeCells>
  <pageMargins left="0.7" right="0.7" top="0.75" bottom="0.75" header="0.3" footer="0.3"/>
  <pageSetup paperSize="9" scale="81" orientation="portrait" verticalDpi="0" r:id="rId3"/>
  <ignoredErrors>
    <ignoredError sqref="B14:C14 E14:F14 H14:I14" formulaRange="1"/>
    <ignoredError sqref="D14 G14" formula="1"/>
  </ignoredErrors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3"/>
  <dimension ref="A1:FQ20"/>
  <sheetViews>
    <sheetView showGridLines="0" topLeftCell="A2" zoomScaleNormal="100" workbookViewId="0">
      <selection activeCell="A3" sqref="A3"/>
    </sheetView>
  </sheetViews>
  <sheetFormatPr defaultColWidth="8.6640625" defaultRowHeight="14.4" x14ac:dyDescent="0.3"/>
  <cols>
    <col min="1" max="1" width="18.109375" customWidth="1"/>
    <col min="2" max="2" width="7.6640625" bestFit="1" customWidth="1"/>
    <col min="3" max="3" width="5.6640625" bestFit="1" customWidth="1"/>
    <col min="4" max="4" width="7.33203125" customWidth="1"/>
    <col min="5" max="5" width="5.6640625" bestFit="1" customWidth="1"/>
    <col min="6" max="6" width="6.88671875" bestFit="1" customWidth="1"/>
    <col min="7" max="7" width="5.6640625" bestFit="1" customWidth="1"/>
    <col min="8" max="8" width="8.5546875" customWidth="1"/>
    <col min="9" max="9" width="5.6640625" bestFit="1" customWidth="1"/>
    <col min="10" max="10" width="7.33203125" customWidth="1"/>
    <col min="11" max="11" width="5.6640625" bestFit="1" customWidth="1"/>
    <col min="12" max="12" width="6.88671875" bestFit="1" customWidth="1"/>
    <col min="13" max="13" width="5.6640625" bestFit="1" customWidth="1"/>
    <col min="14" max="14" width="8.77734375" style="30" customWidth="1"/>
    <col min="15" max="16384" width="8.6640625" style="32"/>
  </cols>
  <sheetData>
    <row r="1" spans="1:173" hidden="1" x14ac:dyDescent="0.3"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x14ac:dyDescent="0.3">
      <c r="B2" s="22"/>
      <c r="C2" s="22"/>
      <c r="D2" s="22"/>
      <c r="E2" s="22"/>
      <c r="F2" s="22"/>
      <c r="G2" s="22"/>
      <c r="H2" s="22"/>
      <c r="I2" s="2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x14ac:dyDescent="0.3">
      <c r="A3" s="83" t="s">
        <v>310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64" t="s">
        <v>354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2" customHeight="1" x14ac:dyDescent="0.3">
      <c r="A4" s="747" t="s">
        <v>10</v>
      </c>
      <c r="B4" s="765" t="s">
        <v>617</v>
      </c>
      <c r="C4" s="766"/>
      <c r="D4" s="766"/>
      <c r="E4" s="766"/>
      <c r="F4" s="766"/>
      <c r="G4" s="767"/>
      <c r="H4" s="765" t="s">
        <v>619</v>
      </c>
      <c r="I4" s="766"/>
      <c r="J4" s="766"/>
      <c r="K4" s="766"/>
      <c r="L4" s="766"/>
      <c r="M4" s="767"/>
      <c r="N4" s="745" t="str">
        <f>IF(LEN(H4)&gt;5,"Индекс " &amp; MID(H4,1,2) &amp; "-" &amp; MID(H4,4,5) &amp; "/" &amp; B4,"Индекс " &amp; H4 &amp; "/" &amp; B4)</f>
        <v>Индекс 03-2025./2024.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96" x14ac:dyDescent="0.3">
      <c r="A5" s="748"/>
      <c r="B5" s="682" t="s">
        <v>583</v>
      </c>
      <c r="C5" s="130" t="s">
        <v>3</v>
      </c>
      <c r="D5" s="130" t="s">
        <v>586</v>
      </c>
      <c r="E5" s="130" t="s">
        <v>3</v>
      </c>
      <c r="F5" s="130" t="s">
        <v>16</v>
      </c>
      <c r="G5" s="132" t="s">
        <v>3</v>
      </c>
      <c r="H5" s="682" t="s">
        <v>583</v>
      </c>
      <c r="I5" s="130" t="s">
        <v>3</v>
      </c>
      <c r="J5" s="130" t="s">
        <v>586</v>
      </c>
      <c r="K5" s="130" t="s">
        <v>3</v>
      </c>
      <c r="L5" s="130" t="s">
        <v>16</v>
      </c>
      <c r="M5" s="132" t="s">
        <v>3</v>
      </c>
      <c r="N5" s="746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x14ac:dyDescent="0.3">
      <c r="A6" s="129" t="s">
        <v>28</v>
      </c>
      <c r="B6" s="655"/>
      <c r="C6" s="656"/>
      <c r="D6" s="657"/>
      <c r="E6" s="656"/>
      <c r="F6" s="658"/>
      <c r="G6" s="656"/>
      <c r="H6" s="655"/>
      <c r="I6" s="656"/>
      <c r="J6" s="657"/>
      <c r="K6" s="656"/>
      <c r="L6" s="658"/>
      <c r="M6" s="659"/>
      <c r="N6" s="660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128" t="s">
        <v>364</v>
      </c>
      <c r="B7" s="661">
        <v>9.48</v>
      </c>
      <c r="C7" s="662">
        <f>IF(B$20&gt;0,B7*100/B$20,0)</f>
        <v>0.14159476027693427</v>
      </c>
      <c r="D7" s="663">
        <v>0.874</v>
      </c>
      <c r="E7" s="662">
        <f>IF(D$20&gt;0,D7*100/D$20,0)</f>
        <v>3.7059777336038054E-2</v>
      </c>
      <c r="F7" s="664">
        <f>B7+D7</f>
        <v>10.354000000000001</v>
      </c>
      <c r="G7" s="662">
        <f>IF(F$20&gt;0,F7*100/F$20,0)</f>
        <v>0.11436442089067066</v>
      </c>
      <c r="H7" s="661">
        <v>8.75</v>
      </c>
      <c r="I7" s="662">
        <f>IF(H$20&gt;0,H7*100/H$20,0)</f>
        <v>0.13058235851737238</v>
      </c>
      <c r="J7" s="663">
        <v>0.38700000000000001</v>
      </c>
      <c r="K7" s="662">
        <f>IF(J$20&gt;0,J7*100/J$20,0)</f>
        <v>1.6112083479743741E-2</v>
      </c>
      <c r="L7" s="664">
        <f>H7+J7</f>
        <v>9.1370000000000005</v>
      </c>
      <c r="M7" s="665">
        <f>IF(L$20&gt;0,L7*100/L$20,0)</f>
        <v>0.10037707592800184</v>
      </c>
      <c r="N7" s="660">
        <f>IF(F7&lt;&gt;0,L7*100/F7,0)</f>
        <v>88.246088468224841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128" t="s">
        <v>365</v>
      </c>
      <c r="B8" s="661">
        <v>815.11500000000001</v>
      </c>
      <c r="C8" s="662">
        <f>IF(B$20&gt;0,B8*100/B$20,0)</f>
        <v>12.174684918052034</v>
      </c>
      <c r="D8" s="663">
        <v>394.41899999999998</v>
      </c>
      <c r="E8" s="662">
        <f t="shared" ref="E8:E11" si="0">IF(D$20&gt;0,D8*100/D$20,0)</f>
        <v>16.724348188904795</v>
      </c>
      <c r="F8" s="664">
        <f t="shared" ref="F8:F11" si="1">B8+D8</f>
        <v>1209.5340000000001</v>
      </c>
      <c r="G8" s="662">
        <f t="shared" ref="G8:G11" si="2">IF(F$20&gt;0,F8*100/F$20,0)</f>
        <v>13.359827647052002</v>
      </c>
      <c r="H8" s="661">
        <v>773.52499999999998</v>
      </c>
      <c r="I8" s="662">
        <f>IF(H$20&gt;0,H8*100/H$20,0)</f>
        <v>11.543853585388625</v>
      </c>
      <c r="J8" s="663">
        <v>414.39299999999997</v>
      </c>
      <c r="K8" s="662">
        <f>IF(J$20&gt;0,J8*100/J$20,0)</f>
        <v>17.252544210391335</v>
      </c>
      <c r="L8" s="664">
        <f t="shared" ref="L8:L11" si="3">H8+J8</f>
        <v>1187.9179999999999</v>
      </c>
      <c r="M8" s="665">
        <f t="shared" ref="M8:M11" si="4">IF(L$20&gt;0,L8*100/L$20,0)</f>
        <v>13.050206334928321</v>
      </c>
      <c r="N8" s="660">
        <f>IF(F8&lt;&gt;0,L8*100/F8,0)</f>
        <v>98.212865450661141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128" t="s">
        <v>366</v>
      </c>
      <c r="B9" s="661">
        <v>0</v>
      </c>
      <c r="C9" s="662">
        <f>IF(B$20&gt;0,B9*100/B$20,0)</f>
        <v>0</v>
      </c>
      <c r="D9" s="663">
        <v>0.5</v>
      </c>
      <c r="E9" s="662">
        <f t="shared" si="0"/>
        <v>2.1201245615582408E-2</v>
      </c>
      <c r="F9" s="664">
        <f t="shared" si="1"/>
        <v>0.5</v>
      </c>
      <c r="G9" s="662">
        <f t="shared" si="2"/>
        <v>5.5227168674266301E-3</v>
      </c>
      <c r="H9" s="661">
        <v>0</v>
      </c>
      <c r="I9" s="662">
        <f t="shared" ref="I9:K11" si="5">IF(H$20&gt;0,H9*100/H$20,0)</f>
        <v>0</v>
      </c>
      <c r="J9" s="663">
        <v>0</v>
      </c>
      <c r="K9" s="662">
        <f t="shared" si="5"/>
        <v>0</v>
      </c>
      <c r="L9" s="664">
        <f t="shared" si="3"/>
        <v>0</v>
      </c>
      <c r="M9" s="665">
        <f t="shared" si="4"/>
        <v>0</v>
      </c>
      <c r="N9" s="660">
        <f>IF(F9&lt;&gt;0,L9*100/F9,0)</f>
        <v>0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128" t="s">
        <v>453</v>
      </c>
      <c r="B10" s="666">
        <v>241.4</v>
      </c>
      <c r="C10" s="662">
        <f>IF(B$20&gt;0,B10*100/B$20,0)</f>
        <v>3.6055880939717229</v>
      </c>
      <c r="D10" s="664">
        <v>41.101999999999997</v>
      </c>
      <c r="E10" s="662">
        <f t="shared" si="0"/>
        <v>1.7428271945833362</v>
      </c>
      <c r="F10" s="667">
        <f t="shared" si="1"/>
        <v>282.50200000000001</v>
      </c>
      <c r="G10" s="662">
        <f t="shared" si="2"/>
        <v>3.1203571209635155</v>
      </c>
      <c r="H10" s="666">
        <v>248.434</v>
      </c>
      <c r="I10" s="662">
        <f t="shared" si="5"/>
        <v>3.707554017817702</v>
      </c>
      <c r="J10" s="664">
        <v>41.115000000000002</v>
      </c>
      <c r="K10" s="662">
        <f t="shared" si="5"/>
        <v>1.7117527448828522</v>
      </c>
      <c r="L10" s="667">
        <f t="shared" si="3"/>
        <v>289.54899999999998</v>
      </c>
      <c r="M10" s="665">
        <f t="shared" si="4"/>
        <v>3.1809217421338514</v>
      </c>
      <c r="N10" s="660">
        <f t="shared" ref="N10:N20" si="6">IF(F10&lt;&gt;0,L10*100/F10,0)</f>
        <v>102.49449561419033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1" customHeight="1" x14ac:dyDescent="0.3">
      <c r="A11" s="128" t="s">
        <v>150</v>
      </c>
      <c r="B11" s="661">
        <v>18.683</v>
      </c>
      <c r="C11" s="662">
        <f>IF(B$20&gt;0,B11*100/B$20,0)</f>
        <v>0.27905220530105096</v>
      </c>
      <c r="D11" s="663">
        <v>3.2000000000000001E-2</v>
      </c>
      <c r="E11" s="662">
        <f t="shared" si="0"/>
        <v>1.3568797193972742E-3</v>
      </c>
      <c r="F11" s="664">
        <f t="shared" si="1"/>
        <v>18.715</v>
      </c>
      <c r="G11" s="662">
        <f t="shared" si="2"/>
        <v>0.20671529234777875</v>
      </c>
      <c r="H11" s="661">
        <v>10.082000000000001</v>
      </c>
      <c r="I11" s="662">
        <f t="shared" si="5"/>
        <v>0.15046072440824554</v>
      </c>
      <c r="J11" s="663">
        <v>0.06</v>
      </c>
      <c r="K11" s="662">
        <f t="shared" si="5"/>
        <v>2.4979974387199597E-3</v>
      </c>
      <c r="L11" s="664">
        <f t="shared" si="3"/>
        <v>10.142000000000001</v>
      </c>
      <c r="M11" s="665">
        <f t="shared" si="4"/>
        <v>0.11141778527545089</v>
      </c>
      <c r="N11" s="660">
        <f t="shared" si="6"/>
        <v>54.19182473951377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x14ac:dyDescent="0.3">
      <c r="A12" s="668" t="s">
        <v>16</v>
      </c>
      <c r="B12" s="669">
        <f t="shared" ref="B12:M12" si="7">SUM(B7:B11)</f>
        <v>1084.6780000000001</v>
      </c>
      <c r="C12" s="670">
        <f>SUM(C7:C11)</f>
        <v>16.200919977601743</v>
      </c>
      <c r="D12" s="671">
        <f t="shared" si="7"/>
        <v>436.92699999999996</v>
      </c>
      <c r="E12" s="670">
        <f t="shared" si="7"/>
        <v>18.526793286159151</v>
      </c>
      <c r="F12" s="671">
        <f t="shared" si="7"/>
        <v>1521.605</v>
      </c>
      <c r="G12" s="670">
        <f>SUM(G7:G11)</f>
        <v>16.806787198121391</v>
      </c>
      <c r="H12" s="669">
        <f t="shared" si="7"/>
        <v>1040.7910000000002</v>
      </c>
      <c r="I12" s="670">
        <f>SUM(I7:I11)</f>
        <v>15.532450686131947</v>
      </c>
      <c r="J12" s="671">
        <f t="shared" si="7"/>
        <v>455.95499999999998</v>
      </c>
      <c r="K12" s="670">
        <f t="shared" si="7"/>
        <v>18.98290703619265</v>
      </c>
      <c r="L12" s="671">
        <f t="shared" si="7"/>
        <v>1496.7459999999999</v>
      </c>
      <c r="M12" s="672">
        <f t="shared" si="7"/>
        <v>16.442922938265625</v>
      </c>
      <c r="N12" s="673">
        <f t="shared" si="6"/>
        <v>98.366264569319881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1" customHeight="1" x14ac:dyDescent="0.3">
      <c r="A13" s="129" t="s">
        <v>29</v>
      </c>
      <c r="B13" s="674"/>
      <c r="C13" s="662"/>
      <c r="D13" s="675"/>
      <c r="E13" s="662"/>
      <c r="F13" s="664"/>
      <c r="G13" s="662"/>
      <c r="H13" s="674"/>
      <c r="I13" s="662"/>
      <c r="J13" s="675"/>
      <c r="K13" s="662"/>
      <c r="L13" s="664"/>
      <c r="M13" s="665"/>
      <c r="N13" s="660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14.1" customHeight="1" x14ac:dyDescent="0.3">
      <c r="A14" s="128" t="s">
        <v>364</v>
      </c>
      <c r="B14" s="661">
        <v>545.19399999999996</v>
      </c>
      <c r="C14" s="662">
        <f>IF(B$20&gt;0,B14*100/B$20,0)</f>
        <v>8.1431027146015715</v>
      </c>
      <c r="D14" s="663">
        <v>90.816999999999993</v>
      </c>
      <c r="E14" s="662">
        <f>IF(D$20&gt;0,D14*100/D$20,0)</f>
        <v>3.8508670461406944</v>
      </c>
      <c r="F14" s="664">
        <f t="shared" ref="F14:F18" si="8">B14+D14</f>
        <v>636.01099999999997</v>
      </c>
      <c r="G14" s="662">
        <f>IF(F$20&gt;0,F14*100/F$20,0)</f>
        <v>7.0250173551377566</v>
      </c>
      <c r="H14" s="661">
        <v>527.30600000000004</v>
      </c>
      <c r="I14" s="662">
        <f>IF(H$20&gt;0,H14*100/H$20,0)</f>
        <v>7.8693555588984658</v>
      </c>
      <c r="J14" s="663">
        <v>89.885999999999996</v>
      </c>
      <c r="K14" s="662">
        <f>IF(J$20&gt;0,J14*100/J$20,0)</f>
        <v>3.7422499629463717</v>
      </c>
      <c r="L14" s="664">
        <f t="shared" ref="L14:L18" si="9">H14+J14</f>
        <v>617.19200000000001</v>
      </c>
      <c r="M14" s="665">
        <f>IF(L$20&gt;0,L14*100/L$20,0)</f>
        <v>6.7803358045480255</v>
      </c>
      <c r="N14" s="660">
        <f t="shared" si="6"/>
        <v>97.041088911984232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ht="14.1" customHeight="1" x14ac:dyDescent="0.3">
      <c r="A15" s="128" t="s">
        <v>365</v>
      </c>
      <c r="B15" s="661">
        <v>1926.5139999999999</v>
      </c>
      <c r="C15" s="662">
        <f t="shared" ref="C15:E18" si="10">IF(B$20&gt;0,B15*100/B$20,0)</f>
        <v>28.774713924067271</v>
      </c>
      <c r="D15" s="663">
        <v>735.58</v>
      </c>
      <c r="E15" s="662">
        <f t="shared" si="10"/>
        <v>31.190424499820214</v>
      </c>
      <c r="F15" s="664">
        <f t="shared" si="8"/>
        <v>2662.0940000000001</v>
      </c>
      <c r="G15" s="662">
        <f t="shared" ref="G15:G18" si="11">IF(F$20&gt;0,F15*100/F$20,0)</f>
        <v>29.403982872950454</v>
      </c>
      <c r="H15" s="661">
        <v>1914.5139999999999</v>
      </c>
      <c r="I15" s="662">
        <f t="shared" ref="I15:I18" si="12">IF(H$20&gt;0,H15*100/H$20,0)</f>
        <v>28.571628975374704</v>
      </c>
      <c r="J15" s="663">
        <v>733.49599999999998</v>
      </c>
      <c r="K15" s="662">
        <f t="shared" ref="K15:K18" si="13">IF(J$20&gt;0,J15*100/J$20,0)</f>
        <v>30.537852155188919</v>
      </c>
      <c r="L15" s="664">
        <f t="shared" si="9"/>
        <v>2648.0099999999998</v>
      </c>
      <c r="M15" s="665">
        <f t="shared" ref="M15:M18" si="14">IF(L$20&gt;0,L15*100/L$20,0)</f>
        <v>29.090456476754749</v>
      </c>
      <c r="N15" s="660">
        <f t="shared" si="6"/>
        <v>99.47094279916486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ht="14.1" customHeight="1" x14ac:dyDescent="0.3">
      <c r="A16" s="128" t="s">
        <v>366</v>
      </c>
      <c r="B16" s="661">
        <v>0</v>
      </c>
      <c r="C16" s="662">
        <f t="shared" si="10"/>
        <v>0</v>
      </c>
      <c r="D16" s="663">
        <v>10.608000000000001</v>
      </c>
      <c r="E16" s="662">
        <f t="shared" si="10"/>
        <v>0.44980562698019633</v>
      </c>
      <c r="F16" s="664">
        <f t="shared" si="8"/>
        <v>10.608000000000001</v>
      </c>
      <c r="G16" s="662">
        <f t="shared" si="11"/>
        <v>0.11716996105932337</v>
      </c>
      <c r="H16" s="661">
        <v>0</v>
      </c>
      <c r="I16" s="662">
        <f t="shared" si="12"/>
        <v>0</v>
      </c>
      <c r="J16" s="663">
        <v>9.6560000000000006</v>
      </c>
      <c r="K16" s="662">
        <f t="shared" si="13"/>
        <v>0.40201105447133217</v>
      </c>
      <c r="L16" s="664">
        <f t="shared" si="9"/>
        <v>9.6560000000000006</v>
      </c>
      <c r="M16" s="665">
        <f t="shared" si="14"/>
        <v>0.10607869597907253</v>
      </c>
      <c r="N16" s="660">
        <f t="shared" si="6"/>
        <v>91.025641025641022</v>
      </c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</row>
    <row r="17" spans="1:173" ht="14.1" customHeight="1" x14ac:dyDescent="0.3">
      <c r="A17" s="128" t="s">
        <v>453</v>
      </c>
      <c r="B17" s="661">
        <v>3061.8629999999998</v>
      </c>
      <c r="C17" s="662">
        <f t="shared" si="10"/>
        <v>45.732463869811681</v>
      </c>
      <c r="D17" s="663">
        <v>1080.6890000000001</v>
      </c>
      <c r="E17" s="662">
        <f t="shared" si="10"/>
        <v>45.823905846116276</v>
      </c>
      <c r="F17" s="664">
        <f t="shared" si="8"/>
        <v>4142.5519999999997</v>
      </c>
      <c r="G17" s="662">
        <f t="shared" si="11"/>
        <v>45.756283609183832</v>
      </c>
      <c r="H17" s="661">
        <v>3136.1590000000001</v>
      </c>
      <c r="I17" s="662">
        <f t="shared" si="12"/>
        <v>46.803090160626752</v>
      </c>
      <c r="J17" s="663">
        <v>1109.6379999999999</v>
      </c>
      <c r="K17" s="662">
        <f t="shared" si="13"/>
        <v>46.197881365105637</v>
      </c>
      <c r="L17" s="664">
        <f t="shared" si="9"/>
        <v>4245.7970000000005</v>
      </c>
      <c r="M17" s="665">
        <f t="shared" si="14"/>
        <v>46.643393656986156</v>
      </c>
      <c r="N17" s="660">
        <f t="shared" si="6"/>
        <v>102.49230426075523</v>
      </c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</row>
    <row r="18" spans="1:173" ht="14.1" customHeight="1" x14ac:dyDescent="0.3">
      <c r="A18" s="128" t="s">
        <v>150</v>
      </c>
      <c r="B18" s="661">
        <v>76.914000000000001</v>
      </c>
      <c r="C18" s="662">
        <f t="shared" si="10"/>
        <v>1.1487995139177345</v>
      </c>
      <c r="D18" s="663">
        <v>3.7309999999999999</v>
      </c>
      <c r="E18" s="662">
        <f t="shared" si="10"/>
        <v>0.1582036947834759</v>
      </c>
      <c r="F18" s="664">
        <f t="shared" si="8"/>
        <v>80.644999999999996</v>
      </c>
      <c r="G18" s="662">
        <f t="shared" si="11"/>
        <v>0.89075900354724113</v>
      </c>
      <c r="H18" s="661">
        <v>81.981999999999999</v>
      </c>
      <c r="I18" s="662">
        <f t="shared" si="12"/>
        <v>1.2234746189681398</v>
      </c>
      <c r="J18" s="663">
        <v>3.2930000000000001</v>
      </c>
      <c r="K18" s="662">
        <f t="shared" si="13"/>
        <v>0.13709842609508044</v>
      </c>
      <c r="L18" s="664">
        <f t="shared" si="9"/>
        <v>85.275000000000006</v>
      </c>
      <c r="M18" s="665">
        <f t="shared" si="14"/>
        <v>0.93681242746638471</v>
      </c>
      <c r="N18" s="660">
        <f t="shared" si="6"/>
        <v>105.74121148242297</v>
      </c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</row>
    <row r="19" spans="1:173" ht="14.1" customHeight="1" x14ac:dyDescent="0.3">
      <c r="A19" s="668" t="s">
        <v>16</v>
      </c>
      <c r="B19" s="669">
        <f>SUM(B14:B18)</f>
        <v>5610.4849999999997</v>
      </c>
      <c r="C19" s="670">
        <f>SUM(C14:C18)</f>
        <v>83.799080022398257</v>
      </c>
      <c r="D19" s="671">
        <f>SUM(D14:D18)</f>
        <v>1921.425</v>
      </c>
      <c r="E19" s="670">
        <f>SUM(E14:E18)</f>
        <v>81.473206713840852</v>
      </c>
      <c r="F19" s="671">
        <f t="shared" ref="F19:L19" si="15">SUM(F14:F18)</f>
        <v>7531.91</v>
      </c>
      <c r="G19" s="670">
        <f>SUM(G14:G18)</f>
        <v>83.193212801878616</v>
      </c>
      <c r="H19" s="669">
        <f t="shared" si="15"/>
        <v>5659.9609999999993</v>
      </c>
      <c r="I19" s="670">
        <f t="shared" si="15"/>
        <v>84.467549313868062</v>
      </c>
      <c r="J19" s="671">
        <f t="shared" si="15"/>
        <v>1945.9689999999998</v>
      </c>
      <c r="K19" s="670">
        <f>SUM(K14:K18)</f>
        <v>81.017092963807343</v>
      </c>
      <c r="L19" s="671">
        <f t="shared" si="15"/>
        <v>7605.93</v>
      </c>
      <c r="M19" s="672">
        <f>SUM(M14:M18)</f>
        <v>83.55707706173439</v>
      </c>
      <c r="N19" s="673">
        <f t="shared" si="6"/>
        <v>100.9827520509406</v>
      </c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</row>
    <row r="20" spans="1:173" s="119" customFormat="1" ht="14.1" customHeight="1" thickBot="1" x14ac:dyDescent="0.35">
      <c r="A20" s="676" t="s">
        <v>94</v>
      </c>
      <c r="B20" s="677">
        <f>B19+B12</f>
        <v>6695.1629999999996</v>
      </c>
      <c r="C20" s="683">
        <f>C19+C12</f>
        <v>100</v>
      </c>
      <c r="D20" s="679">
        <f>D19+D12</f>
        <v>2358.3519999999999</v>
      </c>
      <c r="E20" s="683">
        <f>E19+E12</f>
        <v>100</v>
      </c>
      <c r="F20" s="679">
        <f t="shared" ref="F20:L20" si="16">F19+F12</f>
        <v>9053.5149999999994</v>
      </c>
      <c r="G20" s="683">
        <f>G19+G12</f>
        <v>100</v>
      </c>
      <c r="H20" s="677">
        <f t="shared" si="16"/>
        <v>6700.7519999999995</v>
      </c>
      <c r="I20" s="683">
        <f t="shared" si="16"/>
        <v>100.00000000000001</v>
      </c>
      <c r="J20" s="679">
        <f t="shared" si="16"/>
        <v>2401.924</v>
      </c>
      <c r="K20" s="683">
        <f t="shared" si="16"/>
        <v>100</v>
      </c>
      <c r="L20" s="679">
        <f t="shared" si="16"/>
        <v>9102.6759999999995</v>
      </c>
      <c r="M20" s="684">
        <f>M19+M12</f>
        <v>100.00000000000001</v>
      </c>
      <c r="N20" s="681">
        <f t="shared" si="6"/>
        <v>100.54300456783912</v>
      </c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</row>
  </sheetData>
  <customSheetViews>
    <customSheetView guid="{5507C501-9942-4310-9E0E-987180BD1180}">
      <selection sqref="A1:N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sqref="A1:N1"/>
      <pageMargins left="0.7" right="0.7" top="0.75" bottom="0.75" header="0.3" footer="0.3"/>
      <pageSetup paperSize="9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7" orientation="portrait" verticalDpi="0" r:id="rId3"/>
  <ignoredErrors>
    <ignoredError sqref="F7:F18 L7:L18" formula="1"/>
  </ignoredErrors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5"/>
  <dimension ref="A1:FQ16"/>
  <sheetViews>
    <sheetView showGridLines="0" topLeftCell="A2" zoomScaleNormal="100" workbookViewId="0">
      <selection activeCell="A3" sqref="A3"/>
    </sheetView>
  </sheetViews>
  <sheetFormatPr defaultColWidth="8.6640625" defaultRowHeight="12" x14ac:dyDescent="0.25"/>
  <cols>
    <col min="1" max="1" width="18.6640625" style="32" customWidth="1"/>
    <col min="2" max="2" width="8.5546875" style="32" bestFit="1" customWidth="1"/>
    <col min="3" max="3" width="5" style="32" customWidth="1"/>
    <col min="4" max="4" width="6.5546875" style="32" customWidth="1"/>
    <col min="5" max="5" width="5" style="32" customWidth="1"/>
    <col min="6" max="6" width="8.5546875" style="32" bestFit="1" customWidth="1"/>
    <col min="7" max="7" width="5.5546875" style="32" customWidth="1"/>
    <col min="8" max="8" width="8.5546875" style="32" bestFit="1" customWidth="1"/>
    <col min="9" max="9" width="5" style="32" customWidth="1"/>
    <col min="10" max="10" width="7.44140625" style="32" bestFit="1" customWidth="1"/>
    <col min="11" max="11" width="5.5546875" style="32" customWidth="1"/>
    <col min="12" max="12" width="8.5546875" style="32" bestFit="1" customWidth="1"/>
    <col min="13" max="13" width="5.5546875" style="32" customWidth="1"/>
    <col min="14" max="14" width="8.5546875" style="558" customWidth="1"/>
    <col min="15" max="16384" width="8.6640625" style="32"/>
  </cols>
  <sheetData>
    <row r="1" spans="1:173" ht="14.4" hidden="1" x14ac:dyDescent="0.3">
      <c r="A1" s="126"/>
      <c r="B1" s="127"/>
      <c r="C1" s="127"/>
      <c r="D1" s="127"/>
      <c r="E1" s="127"/>
      <c r="F1" s="127"/>
      <c r="G1" s="127"/>
      <c r="H1" s="127"/>
      <c r="I1" s="127"/>
      <c r="J1" s="127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4.4" x14ac:dyDescent="0.3">
      <c r="A2" s="126"/>
      <c r="B2" s="127"/>
      <c r="C2" s="127"/>
      <c r="D2" s="127"/>
      <c r="E2" s="127"/>
      <c r="F2" s="127"/>
      <c r="G2" s="127"/>
      <c r="H2" s="127"/>
      <c r="I2" s="127"/>
      <c r="J2" s="127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4.4" x14ac:dyDescent="0.3">
      <c r="A3" s="83" t="s">
        <v>582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64" t="s">
        <v>354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4.4" x14ac:dyDescent="0.3">
      <c r="A4" s="747" t="s">
        <v>10</v>
      </c>
      <c r="B4" s="765" t="s">
        <v>617</v>
      </c>
      <c r="C4" s="766"/>
      <c r="D4" s="766"/>
      <c r="E4" s="766"/>
      <c r="F4" s="766"/>
      <c r="G4" s="767"/>
      <c r="H4" s="765" t="s">
        <v>619</v>
      </c>
      <c r="I4" s="766"/>
      <c r="J4" s="766"/>
      <c r="K4" s="766"/>
      <c r="L4" s="766"/>
      <c r="M4" s="767"/>
      <c r="N4" s="745" t="str">
        <f>IF(LEN(H4)&gt;5,"Индекс " &amp; MID(H4,1,2) &amp; "-" &amp; MID(H4,4,5) &amp; "/" &amp; B4,"Индекс " &amp; H4 &amp; "/" &amp; B4)</f>
        <v>Индекс 03-2025./2024.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108" x14ac:dyDescent="0.3">
      <c r="A5" s="768"/>
      <c r="B5" s="682" t="s">
        <v>583</v>
      </c>
      <c r="C5" s="130" t="s">
        <v>3</v>
      </c>
      <c r="D5" s="130" t="s">
        <v>586</v>
      </c>
      <c r="E5" s="130" t="s">
        <v>3</v>
      </c>
      <c r="F5" s="130" t="s">
        <v>16</v>
      </c>
      <c r="G5" s="132" t="s">
        <v>3</v>
      </c>
      <c r="H5" s="682" t="s">
        <v>583</v>
      </c>
      <c r="I5" s="130" t="s">
        <v>3</v>
      </c>
      <c r="J5" s="130" t="s">
        <v>586</v>
      </c>
      <c r="K5" s="130" t="s">
        <v>3</v>
      </c>
      <c r="L5" s="130" t="s">
        <v>16</v>
      </c>
      <c r="M5" s="132" t="s">
        <v>3</v>
      </c>
      <c r="N5" s="746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24" x14ac:dyDescent="0.3">
      <c r="A6" s="129" t="s">
        <v>454</v>
      </c>
      <c r="B6" s="685"/>
      <c r="C6" s="656"/>
      <c r="D6" s="657"/>
      <c r="E6" s="656"/>
      <c r="F6" s="657"/>
      <c r="G6" s="686"/>
      <c r="H6" s="685"/>
      <c r="I6" s="656"/>
      <c r="J6" s="657"/>
      <c r="K6" s="656"/>
      <c r="L6" s="657"/>
      <c r="M6" s="686"/>
      <c r="N6" s="321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128" t="s">
        <v>367</v>
      </c>
      <c r="B7" s="687">
        <v>189.81</v>
      </c>
      <c r="C7" s="688">
        <f>IF(B$16&gt;0,B7*100/B$16,0)</f>
        <v>5.7461364717250794</v>
      </c>
      <c r="D7" s="689">
        <v>39.112000000000002</v>
      </c>
      <c r="E7" s="688">
        <f>IF(D$16&gt;0,D7*100/D$16,0)</f>
        <v>3.4865674622099836</v>
      </c>
      <c r="F7" s="657">
        <f>B7+D7</f>
        <v>228.922</v>
      </c>
      <c r="G7" s="690">
        <f>IF(F$16&gt;0,F7*100/F$16,0)</f>
        <v>5.1733153990889154</v>
      </c>
      <c r="H7" s="687">
        <v>196.94800000000001</v>
      </c>
      <c r="I7" s="688">
        <f>IF(H$16&gt;0,H7*100/H$16,0)</f>
        <v>5.8189566662815873</v>
      </c>
      <c r="J7" s="689">
        <v>38.880000000000003</v>
      </c>
      <c r="K7" s="688">
        <f>IF(J$16&gt;0,J7*100/J$16,0)</f>
        <v>3.378657279190235</v>
      </c>
      <c r="L7" s="657">
        <f>H7+J7</f>
        <v>235.828</v>
      </c>
      <c r="M7" s="690">
        <f>IF(L$16&gt;0,L7*100/L$16,0)</f>
        <v>5.1997796860482088</v>
      </c>
      <c r="N7" s="564">
        <f>IF(F7&lt;&gt;0,L7*100/F7,"-")</f>
        <v>103.01674806265889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128" t="s">
        <v>368</v>
      </c>
      <c r="B8" s="687">
        <v>14.161</v>
      </c>
      <c r="C8" s="688">
        <f t="shared" ref="C8:C9" si="0">IF(B$16&gt;0,B8*100/B$16,0)</f>
        <v>0.42869732140613687</v>
      </c>
      <c r="D8" s="689">
        <v>0</v>
      </c>
      <c r="E8" s="688">
        <f>IF(D$16&gt;0,D8*100/D$16,0)</f>
        <v>0</v>
      </c>
      <c r="F8" s="657">
        <f t="shared" ref="F8:F9" si="1">B8+D8</f>
        <v>14.161</v>
      </c>
      <c r="G8" s="690">
        <f>IF(F$16&gt;0,F8*100/F$16,0)</f>
        <v>0.32001869355718593</v>
      </c>
      <c r="H8" s="687">
        <v>14.331</v>
      </c>
      <c r="I8" s="688">
        <f t="shared" ref="I8" si="2">IF(H$16&gt;0,H8*100/H$16,0)</f>
        <v>0.42341870942828275</v>
      </c>
      <c r="J8" s="689">
        <v>0</v>
      </c>
      <c r="K8" s="688">
        <f t="shared" ref="K8" si="3">IF(J$16&gt;0,J8*100/J$16,0)</f>
        <v>0</v>
      </c>
      <c r="L8" s="657">
        <f t="shared" ref="L8:L9" si="4">H8+J8</f>
        <v>14.331</v>
      </c>
      <c r="M8" s="690">
        <f t="shared" ref="M8:M9" si="5">IF(L$16&gt;0,L8*100/L$16,0)</f>
        <v>0.3159847120815038</v>
      </c>
      <c r="N8" s="564">
        <f>IF(F8&lt;&gt;0,L8*100/F8,"-")</f>
        <v>101.20048019207682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128" t="s">
        <v>435</v>
      </c>
      <c r="B9" s="687">
        <v>37.429000000000002</v>
      </c>
      <c r="C9" s="688">
        <f t="shared" si="0"/>
        <v>1.1330917338401454</v>
      </c>
      <c r="D9" s="689">
        <v>1.99</v>
      </c>
      <c r="E9" s="688">
        <f>IF(D$16&gt;0,D9*100/D$16,0)</f>
        <v>0.17739489798010499</v>
      </c>
      <c r="F9" s="657">
        <f t="shared" si="1"/>
        <v>39.419000000000004</v>
      </c>
      <c r="G9" s="690">
        <f>IF(F$16&gt;0,F9*100/F$16,0)</f>
        <v>0.89081398780670262</v>
      </c>
      <c r="H9" s="687">
        <v>37.155000000000001</v>
      </c>
      <c r="I9" s="688">
        <f t="shared" ref="I9" si="6">IF(H$16&gt;0,H9*100/H$16,0)</f>
        <v>1.0977686238788533</v>
      </c>
      <c r="J9" s="689">
        <v>2.2349999999999999</v>
      </c>
      <c r="K9" s="688">
        <f t="shared" ref="K9" si="7">IF(J$16&gt;0,J9*100/J$16,0)</f>
        <v>0.19422065378061149</v>
      </c>
      <c r="L9" s="657">
        <f t="shared" si="4"/>
        <v>39.39</v>
      </c>
      <c r="M9" s="690">
        <f t="shared" si="5"/>
        <v>0.8685114652774012</v>
      </c>
      <c r="N9" s="564">
        <f>IF(F9&lt;&gt;0,L9*100/F9,"-")</f>
        <v>99.926431416322075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264" t="s">
        <v>16</v>
      </c>
      <c r="B10" s="691">
        <f t="shared" ref="B10:M10" si="8">SUM(B7:B9)</f>
        <v>241.4</v>
      </c>
      <c r="C10" s="692">
        <f t="shared" si="8"/>
        <v>7.3079255269713617</v>
      </c>
      <c r="D10" s="693">
        <f t="shared" si="8"/>
        <v>41.102000000000004</v>
      </c>
      <c r="E10" s="692">
        <f t="shared" si="8"/>
        <v>3.6639623601900886</v>
      </c>
      <c r="F10" s="693">
        <f t="shared" si="8"/>
        <v>282.50200000000001</v>
      </c>
      <c r="G10" s="694">
        <f>SUM(G7:G9)</f>
        <v>6.3841480804528041</v>
      </c>
      <c r="H10" s="691">
        <f t="shared" si="8"/>
        <v>248.434</v>
      </c>
      <c r="I10" s="692">
        <f t="shared" si="8"/>
        <v>7.3401439995887241</v>
      </c>
      <c r="J10" s="693">
        <f t="shared" si="8"/>
        <v>41.115000000000002</v>
      </c>
      <c r="K10" s="692">
        <f t="shared" si="8"/>
        <v>3.5728779329708464</v>
      </c>
      <c r="L10" s="693">
        <f t="shared" si="8"/>
        <v>289.54899999999998</v>
      </c>
      <c r="M10" s="694">
        <f t="shared" si="8"/>
        <v>6.3842758634071144</v>
      </c>
      <c r="N10" s="565">
        <f>IF(F10&lt;&gt;0,L10*100/F10,"-")</f>
        <v>102.49449561419033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24" x14ac:dyDescent="0.3">
      <c r="A11" s="129" t="s">
        <v>455</v>
      </c>
      <c r="B11" s="695"/>
      <c r="C11" s="688"/>
      <c r="D11" s="696"/>
      <c r="E11" s="688"/>
      <c r="F11" s="657"/>
      <c r="G11" s="690"/>
      <c r="H11" s="695"/>
      <c r="I11" s="688"/>
      <c r="J11" s="696"/>
      <c r="K11" s="688"/>
      <c r="L11" s="657"/>
      <c r="M11" s="690"/>
      <c r="N11" s="564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x14ac:dyDescent="0.3">
      <c r="A12" s="128" t="s">
        <v>367</v>
      </c>
      <c r="B12" s="687">
        <v>1969.136</v>
      </c>
      <c r="C12" s="688">
        <f>IF(B$16&gt;0,B12*100/B$16,0)</f>
        <v>59.611844409603478</v>
      </c>
      <c r="D12" s="689">
        <v>809.01499999999999</v>
      </c>
      <c r="E12" s="688">
        <f>IF(D$16&gt;0,D12*100/D$16,0)</f>
        <v>72.118157482097814</v>
      </c>
      <c r="F12" s="657">
        <f t="shared" ref="F12:F14" si="9">B12+D12</f>
        <v>2778.1509999999998</v>
      </c>
      <c r="G12" s="690">
        <f>IF(F$16&gt;0,F12*100/F$16,0)</f>
        <v>62.782307289357369</v>
      </c>
      <c r="H12" s="687">
        <v>2015.1469999999999</v>
      </c>
      <c r="I12" s="688">
        <f>IF(H$16&gt;0,H12*100/H$16,0)</f>
        <v>59.53882785906606</v>
      </c>
      <c r="J12" s="689">
        <v>825.06899999999996</v>
      </c>
      <c r="K12" s="688">
        <f>IF(J$16&gt;0,J12*100/J$16,0)</f>
        <v>71.69818371101357</v>
      </c>
      <c r="L12" s="657">
        <f t="shared" ref="L12:L14" si="10">H12+J12</f>
        <v>2840.2159999999999</v>
      </c>
      <c r="M12" s="690">
        <f>IF(L$16&gt;0,L12*100/L$16,0)</f>
        <v>62.62402030627873</v>
      </c>
      <c r="N12" s="564">
        <f>IF(F12&lt;&gt;0,L12*100/F12,"-")</f>
        <v>102.23403983440785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1" customHeight="1" x14ac:dyDescent="0.3">
      <c r="A13" s="128" t="s">
        <v>368</v>
      </c>
      <c r="B13" s="687">
        <v>968.34100000000001</v>
      </c>
      <c r="C13" s="688">
        <f t="shared" ref="C13:E14" si="11">IF(B$16&gt;0,B13*100/B$16,0)</f>
        <v>29.314680665753833</v>
      </c>
      <c r="D13" s="689">
        <v>254.51</v>
      </c>
      <c r="E13" s="688">
        <f t="shared" si="11"/>
        <v>22.687826876842475</v>
      </c>
      <c r="F13" s="657">
        <f t="shared" si="9"/>
        <v>1222.8510000000001</v>
      </c>
      <c r="G13" s="690">
        <f>IF(F$16&gt;0,F13*100/F$16,0)</f>
        <v>27.634713610274588</v>
      </c>
      <c r="H13" s="687">
        <v>996.875</v>
      </c>
      <c r="I13" s="688">
        <f t="shared" ref="I13" si="12">IF(H$16&gt;0,H13*100/H$16,0)</f>
        <v>29.453319793546815</v>
      </c>
      <c r="J13" s="689">
        <v>266.113</v>
      </c>
      <c r="K13" s="688">
        <f t="shared" ref="K13" si="13">IF(J$16&gt;0,J13*100/J$16,0)</f>
        <v>23.125118943856762</v>
      </c>
      <c r="L13" s="657">
        <f t="shared" si="10"/>
        <v>1262.9880000000001</v>
      </c>
      <c r="M13" s="690">
        <f t="shared" ref="M13:M14" si="14">IF(L$16&gt;0,L13*100/L$16,0)</f>
        <v>27.847665867168683</v>
      </c>
      <c r="N13" s="564">
        <f>IF(F13&lt;&gt;0,L13*100/F13,"-")</f>
        <v>103.28224779633823</v>
      </c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14.1" customHeight="1" x14ac:dyDescent="0.3">
      <c r="A14" s="128" t="s">
        <v>435</v>
      </c>
      <c r="B14" s="687">
        <v>124.386</v>
      </c>
      <c r="C14" s="688">
        <f t="shared" si="11"/>
        <v>3.7655493976713332</v>
      </c>
      <c r="D14" s="689">
        <v>17.164000000000001</v>
      </c>
      <c r="E14" s="688">
        <f t="shared" si="11"/>
        <v>1.5300532808696092</v>
      </c>
      <c r="F14" s="657">
        <f t="shared" si="9"/>
        <v>141.55000000000001</v>
      </c>
      <c r="G14" s="690">
        <f>IF(F$16&gt;0,F14*100/F$16,0)</f>
        <v>3.1988310199152377</v>
      </c>
      <c r="H14" s="687">
        <v>124.137</v>
      </c>
      <c r="I14" s="688">
        <f t="shared" ref="I14" si="15">IF(H$16&gt;0,H14*100/H$16,0)</f>
        <v>3.6677083477983912</v>
      </c>
      <c r="J14" s="689">
        <v>18.456</v>
      </c>
      <c r="K14" s="688">
        <f t="shared" ref="K14" si="16">IF(J$16&gt;0,J14*100/J$16,0)</f>
        <v>1.6038194121588212</v>
      </c>
      <c r="L14" s="657">
        <f t="shared" si="10"/>
        <v>142.59299999999999</v>
      </c>
      <c r="M14" s="690">
        <f t="shared" si="14"/>
        <v>3.1440379631454802</v>
      </c>
      <c r="N14" s="564">
        <f>IF(F14&lt;&gt;0,L14*100/F14,"-")</f>
        <v>100.73684210526315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ht="14.1" customHeight="1" x14ac:dyDescent="0.3">
      <c r="A15" s="264" t="s">
        <v>16</v>
      </c>
      <c r="B15" s="691">
        <f>SUM(B12:B14)</f>
        <v>3061.8629999999998</v>
      </c>
      <c r="C15" s="692">
        <f t="shared" ref="C15:M15" si="17">SUM(C12:C14)</f>
        <v>92.692074473028654</v>
      </c>
      <c r="D15" s="693">
        <f>SUM(D12:D14)</f>
        <v>1080.6890000000001</v>
      </c>
      <c r="E15" s="692">
        <f t="shared" si="17"/>
        <v>96.336037639809902</v>
      </c>
      <c r="F15" s="693">
        <f t="shared" si="17"/>
        <v>4142.5519999999997</v>
      </c>
      <c r="G15" s="694">
        <f>SUM(G12:G14)</f>
        <v>93.615851919547183</v>
      </c>
      <c r="H15" s="691">
        <f>SUM(H12:H14)</f>
        <v>3136.1590000000001</v>
      </c>
      <c r="I15" s="692">
        <f>SUM(I12:I14)</f>
        <v>92.659856000411267</v>
      </c>
      <c r="J15" s="693">
        <f>SUM(J12:J14)</f>
        <v>1109.6379999999999</v>
      </c>
      <c r="K15" s="692">
        <f t="shared" si="17"/>
        <v>96.42712206702916</v>
      </c>
      <c r="L15" s="693">
        <f t="shared" si="17"/>
        <v>4245.7969999999996</v>
      </c>
      <c r="M15" s="694">
        <f t="shared" si="17"/>
        <v>93.615724136592888</v>
      </c>
      <c r="N15" s="565">
        <f>IF(F15&lt;&gt;0,L15*100/F15,"-")</f>
        <v>102.4923042607552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s="119" customFormat="1" ht="14.1" customHeight="1" thickBot="1" x14ac:dyDescent="0.35">
      <c r="A16" s="676" t="s">
        <v>94</v>
      </c>
      <c r="B16" s="697">
        <f>B15+B10</f>
        <v>3303.2629999999999</v>
      </c>
      <c r="C16" s="698">
        <f t="shared" ref="C16:M16" si="18">C15+C10</f>
        <v>100.00000000000001</v>
      </c>
      <c r="D16" s="699">
        <f>D15+D10</f>
        <v>1121.7910000000002</v>
      </c>
      <c r="E16" s="698">
        <f t="shared" si="18"/>
        <v>99.999999999999986</v>
      </c>
      <c r="F16" s="699">
        <f t="shared" si="18"/>
        <v>4425.0540000000001</v>
      </c>
      <c r="G16" s="700">
        <f>G15+G10</f>
        <v>99.999999999999986</v>
      </c>
      <c r="H16" s="697">
        <f t="shared" si="18"/>
        <v>3384.5930000000003</v>
      </c>
      <c r="I16" s="698">
        <f t="shared" si="18"/>
        <v>99.999999999999986</v>
      </c>
      <c r="J16" s="699">
        <f t="shared" si="18"/>
        <v>1150.7529999999999</v>
      </c>
      <c r="K16" s="698">
        <f t="shared" si="18"/>
        <v>100</v>
      </c>
      <c r="L16" s="699">
        <f t="shared" si="18"/>
        <v>4535.3459999999995</v>
      </c>
      <c r="M16" s="700">
        <f t="shared" si="18"/>
        <v>100</v>
      </c>
      <c r="N16" s="566">
        <f>IF(F16&lt;&gt;0,L16*100/F16,"-")</f>
        <v>102.49244416000346</v>
      </c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</row>
  </sheetData>
  <customSheetViews>
    <customSheetView guid="{5507C501-9942-4310-9E0E-987180BD1180}">
      <selection sqref="A1:N1"/>
      <pageMargins left="0.7" right="0.7" top="0.75" bottom="0.75" header="0.3" footer="0.3"/>
      <pageSetup paperSize="9" orientation="portrait" verticalDpi="0" r:id="rId1"/>
    </customSheetView>
    <customSheetView guid="{54A0E5BB-5A66-4415-88CA-030F3BDE4337}" showPageBreaks="1">
      <selection sqref="A1:N1"/>
      <pageMargins left="0.7" right="0.7" top="0.75" bottom="0.75" header="0.3" footer="0.3"/>
      <pageSetup paperSize="9" scale="81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8" orientation="portrait" verticalDpi="0" r:id="rId3"/>
  <ignoredErrors>
    <ignoredError sqref="F7:F14 L7:L14" formula="1"/>
  </ignoredErrors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7"/>
  <dimension ref="A1:FQ16"/>
  <sheetViews>
    <sheetView showGridLines="0" topLeftCell="A2" zoomScaleNormal="100" workbookViewId="0">
      <selection activeCell="A3" sqref="A3"/>
    </sheetView>
  </sheetViews>
  <sheetFormatPr defaultColWidth="8.6640625" defaultRowHeight="12" x14ac:dyDescent="0.25"/>
  <cols>
    <col min="1" max="1" width="27.5546875" style="3" customWidth="1"/>
    <col min="2" max="2" width="8.33203125" style="3" customWidth="1"/>
    <col min="3" max="3" width="4.88671875" style="3" customWidth="1"/>
    <col min="4" max="4" width="7.44140625" style="3" customWidth="1"/>
    <col min="5" max="5" width="4.6640625" style="3" customWidth="1"/>
    <col min="6" max="6" width="9" style="3" bestFit="1" customWidth="1"/>
    <col min="7" max="7" width="5.33203125" style="3" customWidth="1"/>
    <col min="8" max="8" width="8.6640625" style="3" customWidth="1"/>
    <col min="9" max="9" width="4.6640625" style="3" customWidth="1"/>
    <col min="10" max="10" width="7.109375" style="3" customWidth="1"/>
    <col min="11" max="11" width="5" style="3" customWidth="1"/>
    <col min="12" max="12" width="7.88671875" style="3" bestFit="1" customWidth="1"/>
    <col min="13" max="13" width="5.5546875" style="3" customWidth="1"/>
    <col min="14" max="14" width="8.33203125" style="171" customWidth="1"/>
    <col min="15" max="16384" width="8.6640625" style="3"/>
  </cols>
  <sheetData>
    <row r="1" spans="1:173" ht="14.4" hidden="1" x14ac:dyDescent="0.3">
      <c r="A1" s="131"/>
      <c r="B1" s="118"/>
      <c r="C1" s="118"/>
      <c r="D1" s="118"/>
      <c r="E1" s="118"/>
      <c r="F1" s="118"/>
      <c r="G1" s="118"/>
      <c r="H1" s="118"/>
      <c r="I1" s="118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4.4" x14ac:dyDescent="0.3">
      <c r="A2" s="131"/>
      <c r="B2" s="118"/>
      <c r="C2" s="118"/>
      <c r="D2" s="118"/>
      <c r="E2" s="118"/>
      <c r="F2" s="118"/>
      <c r="G2" s="118"/>
      <c r="H2" s="118"/>
      <c r="I2" s="118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4.4" x14ac:dyDescent="0.3">
      <c r="A3" s="83" t="s">
        <v>457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64" t="s">
        <v>354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4.4" x14ac:dyDescent="0.3">
      <c r="A4" s="747" t="s">
        <v>10</v>
      </c>
      <c r="B4" s="765" t="s">
        <v>617</v>
      </c>
      <c r="C4" s="766"/>
      <c r="D4" s="766"/>
      <c r="E4" s="766"/>
      <c r="F4" s="766"/>
      <c r="G4" s="767"/>
      <c r="H4" s="765" t="s">
        <v>619</v>
      </c>
      <c r="I4" s="766"/>
      <c r="J4" s="766"/>
      <c r="K4" s="766"/>
      <c r="L4" s="766"/>
      <c r="M4" s="767"/>
      <c r="N4" s="745" t="str">
        <f>IF(LEN(H4)&gt;5,"Индекс " &amp; MID(H4,1,2) &amp; "-" &amp; MID(H4,4,5) &amp; "/" &amp; B4,"Индекс " &amp; H4 &amp; "/" &amp; B4)</f>
        <v>Индекс 03-2025./2024.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96" x14ac:dyDescent="0.3">
      <c r="A5" s="768"/>
      <c r="B5" s="682" t="s">
        <v>583</v>
      </c>
      <c r="C5" s="130" t="s">
        <v>3</v>
      </c>
      <c r="D5" s="130" t="s">
        <v>586</v>
      </c>
      <c r="E5" s="130" t="s">
        <v>3</v>
      </c>
      <c r="F5" s="130" t="s">
        <v>16</v>
      </c>
      <c r="G5" s="132" t="s">
        <v>3</v>
      </c>
      <c r="H5" s="682" t="s">
        <v>583</v>
      </c>
      <c r="I5" s="130" t="s">
        <v>3</v>
      </c>
      <c r="J5" s="130" t="s">
        <v>586</v>
      </c>
      <c r="K5" s="130" t="s">
        <v>3</v>
      </c>
      <c r="L5" s="130" t="s">
        <v>16</v>
      </c>
      <c r="M5" s="265" t="s">
        <v>3</v>
      </c>
      <c r="N5" s="746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4.1" customHeight="1" x14ac:dyDescent="0.3">
      <c r="A6" s="129" t="s">
        <v>432</v>
      </c>
      <c r="B6" s="685"/>
      <c r="C6" s="658"/>
      <c r="D6" s="657"/>
      <c r="E6" s="658"/>
      <c r="F6" s="657"/>
      <c r="G6" s="701"/>
      <c r="H6" s="685"/>
      <c r="I6" s="658"/>
      <c r="J6" s="657"/>
      <c r="K6" s="658"/>
      <c r="L6" s="657"/>
      <c r="M6" s="701"/>
      <c r="N6" s="660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128" t="s">
        <v>369</v>
      </c>
      <c r="B7" s="687">
        <v>10.038</v>
      </c>
      <c r="C7" s="657">
        <f>IF(B$15&gt;0,B7*100/B$15,0)</f>
        <v>0.46494910016276464</v>
      </c>
      <c r="D7" s="689">
        <v>25.49</v>
      </c>
      <c r="E7" s="657">
        <f>IF(D$15&gt;0,D7*100/D$15,0)</f>
        <v>3.0054532056005896</v>
      </c>
      <c r="F7" s="657">
        <f>B7+D7</f>
        <v>35.527999999999999</v>
      </c>
      <c r="G7" s="702">
        <f>IF(F$15&gt;0,F7*100/F$15,0)</f>
        <v>1.1814819137958499</v>
      </c>
      <c r="H7" s="687">
        <v>9.7880000000000003</v>
      </c>
      <c r="I7" s="657">
        <f>IF(H$15&gt;0,H7*100/H$15,0)</f>
        <v>0.44247647591988587</v>
      </c>
      <c r="J7" s="689">
        <v>25.419</v>
      </c>
      <c r="K7" s="657">
        <f>IF(J$15&gt;0,J7*100/J$15,0)</f>
        <v>2.9421807486767193</v>
      </c>
      <c r="L7" s="657">
        <f>H7+J7</f>
        <v>35.207000000000001</v>
      </c>
      <c r="M7" s="702">
        <f>IF(L$15&gt;0,L7*100/L$15,0)</f>
        <v>1.1445537550478764</v>
      </c>
      <c r="N7" s="660">
        <f>IF(F7&lt;&gt;0,L7*100/F7,"-")</f>
        <v>99.096487277640179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128" t="s">
        <v>370</v>
      </c>
      <c r="B8" s="687">
        <v>2.004</v>
      </c>
      <c r="C8" s="657">
        <f t="shared" ref="C8:E12" si="0">IF(B$15&gt;0,B8*100/B$15,0)</f>
        <v>9.2823071999021747E-2</v>
      </c>
      <c r="D8" s="689">
        <v>0.32600000000000001</v>
      </c>
      <c r="E8" s="657">
        <f t="shared" si="0"/>
        <v>3.8437730287398678E-2</v>
      </c>
      <c r="F8" s="657">
        <f t="shared" ref="F8:F11" si="1">B8+D8</f>
        <v>2.33</v>
      </c>
      <c r="G8" s="702">
        <f t="shared" ref="G8:G14" si="2">IF(F$15&gt;0,F8*100/F$15,0)</f>
        <v>7.7484036791948041E-2</v>
      </c>
      <c r="H8" s="687">
        <v>2.5270000000000001</v>
      </c>
      <c r="I8" s="657">
        <f>IF(H$15&gt;0,H8*100/H$15,0)</f>
        <v>0.11423560018896113</v>
      </c>
      <c r="J8" s="689">
        <v>0.307</v>
      </c>
      <c r="K8" s="657">
        <f>IF(J$15&gt;0,J8*100/J$15,0)</f>
        <v>3.5534422669804194E-2</v>
      </c>
      <c r="L8" s="657">
        <f t="shared" ref="L8:L11" si="3">H8+J8</f>
        <v>2.8340000000000001</v>
      </c>
      <c r="M8" s="702">
        <f t="shared" ref="M8:M14" si="4">IF(L$15&gt;0,L8*100/L$15,0)</f>
        <v>9.2131262016237725E-2</v>
      </c>
      <c r="N8" s="660">
        <f t="shared" ref="N8:N15" si="5">IF(F8&lt;&gt;0,L8*100/F8,"-")</f>
        <v>121.63090128755366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128" t="s">
        <v>371</v>
      </c>
      <c r="B9" s="687">
        <v>39.017000000000003</v>
      </c>
      <c r="C9" s="657">
        <f t="shared" si="0"/>
        <v>1.8072244511905349</v>
      </c>
      <c r="D9" s="689">
        <v>18.102</v>
      </c>
      <c r="E9" s="657">
        <f t="shared" si="0"/>
        <v>2.1343551952837143</v>
      </c>
      <c r="F9" s="657">
        <f t="shared" si="1"/>
        <v>57.119</v>
      </c>
      <c r="G9" s="702">
        <f t="shared" si="2"/>
        <v>1.8994895697507641</v>
      </c>
      <c r="H9" s="687">
        <v>39.220999999999997</v>
      </c>
      <c r="I9" s="657">
        <f t="shared" ref="I9:K9" si="6">IF(H$15&gt;0,H9*100/H$15,0)</f>
        <v>1.7730251187222967</v>
      </c>
      <c r="J9" s="689">
        <v>17.286000000000001</v>
      </c>
      <c r="K9" s="657">
        <f t="shared" si="6"/>
        <v>2.0008079161896917</v>
      </c>
      <c r="L9" s="657">
        <f t="shared" si="3"/>
        <v>56.506999999999998</v>
      </c>
      <c r="M9" s="702">
        <f t="shared" si="4"/>
        <v>1.8370011371741513</v>
      </c>
      <c r="N9" s="660">
        <f t="shared" si="5"/>
        <v>98.928552670740032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128" t="s">
        <v>372</v>
      </c>
      <c r="B10" s="685">
        <v>64.438999999999993</v>
      </c>
      <c r="C10" s="657">
        <f t="shared" si="0"/>
        <v>2.9847434813098612</v>
      </c>
      <c r="D10" s="657">
        <v>23.869</v>
      </c>
      <c r="E10" s="657">
        <f t="shared" si="0"/>
        <v>2.8143257184966841</v>
      </c>
      <c r="F10" s="703">
        <f t="shared" si="1"/>
        <v>88.307999999999993</v>
      </c>
      <c r="G10" s="702">
        <f t="shared" si="2"/>
        <v>2.9366782493662438</v>
      </c>
      <c r="H10" s="685">
        <v>69.019000000000005</v>
      </c>
      <c r="I10" s="657">
        <f t="shared" ref="I10:K10" si="7">IF(H$15&gt;0,H10*100/H$15,0)</f>
        <v>3.1200739570407237</v>
      </c>
      <c r="J10" s="657">
        <v>24.625</v>
      </c>
      <c r="K10" s="657">
        <f t="shared" si="7"/>
        <v>2.8502773884167043</v>
      </c>
      <c r="L10" s="703">
        <f t="shared" si="3"/>
        <v>93.644000000000005</v>
      </c>
      <c r="M10" s="702">
        <f t="shared" si="4"/>
        <v>3.0442977770813573</v>
      </c>
      <c r="N10" s="660">
        <f t="shared" si="5"/>
        <v>106.04248765683745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1" customHeight="1" x14ac:dyDescent="0.3">
      <c r="A11" s="128" t="s">
        <v>373</v>
      </c>
      <c r="B11" s="687">
        <v>0</v>
      </c>
      <c r="C11" s="657">
        <f t="shared" si="0"/>
        <v>0</v>
      </c>
      <c r="D11" s="689">
        <v>0</v>
      </c>
      <c r="E11" s="657">
        <f t="shared" si="0"/>
        <v>0</v>
      </c>
      <c r="F11" s="657">
        <f t="shared" si="1"/>
        <v>0</v>
      </c>
      <c r="G11" s="702">
        <f t="shared" si="2"/>
        <v>0</v>
      </c>
      <c r="H11" s="687">
        <v>0</v>
      </c>
      <c r="I11" s="657">
        <f t="shared" ref="I11:K11" si="8">IF(H$15&gt;0,H11*100/H$15,0)</f>
        <v>0</v>
      </c>
      <c r="J11" s="689">
        <v>0</v>
      </c>
      <c r="K11" s="657">
        <f t="shared" si="8"/>
        <v>0</v>
      </c>
      <c r="L11" s="657">
        <f t="shared" si="3"/>
        <v>0</v>
      </c>
      <c r="M11" s="702">
        <f t="shared" si="4"/>
        <v>0</v>
      </c>
      <c r="N11" s="660" t="str">
        <f t="shared" si="5"/>
        <v>-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x14ac:dyDescent="0.3">
      <c r="A12" s="128" t="s">
        <v>437</v>
      </c>
      <c r="B12" s="687">
        <v>2019.623</v>
      </c>
      <c r="C12" s="657">
        <f t="shared" si="0"/>
        <v>93.546712145648854</v>
      </c>
      <c r="D12" s="689">
        <v>753.976</v>
      </c>
      <c r="E12" s="657">
        <f t="shared" si="0"/>
        <v>88.89915991156964</v>
      </c>
      <c r="F12" s="657">
        <f t="shared" ref="F12:F14" si="9">B12+D12</f>
        <v>2773.5990000000002</v>
      </c>
      <c r="G12" s="702">
        <f t="shared" si="2"/>
        <v>92.235899983738335</v>
      </c>
      <c r="H12" s="687">
        <v>2068.3380000000002</v>
      </c>
      <c r="I12" s="657">
        <f t="shared" ref="I12:K12" si="10">IF(H$15&gt;0,H12*100/H$15,0)</f>
        <v>93.501318885490903</v>
      </c>
      <c r="J12" s="689">
        <v>768.60799999999995</v>
      </c>
      <c r="K12" s="657">
        <f t="shared" si="10"/>
        <v>88.964304688576078</v>
      </c>
      <c r="L12" s="657">
        <f t="shared" ref="L12:L14" si="11">H12+J12</f>
        <v>2836.9459999999999</v>
      </c>
      <c r="M12" s="702">
        <f t="shared" si="4"/>
        <v>92.227034316131792</v>
      </c>
      <c r="N12" s="660">
        <f t="shared" si="5"/>
        <v>102.28392784969996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1" customHeight="1" x14ac:dyDescent="0.3">
      <c r="A13" s="128" t="s">
        <v>374</v>
      </c>
      <c r="B13" s="687">
        <v>4.6040000000000001</v>
      </c>
      <c r="C13" s="657">
        <f>IF(B$15&gt;0,B13*100/B$15,0)</f>
        <v>0.21325220732709391</v>
      </c>
      <c r="D13" s="689">
        <v>4.2999999999999997E-2</v>
      </c>
      <c r="E13" s="657">
        <f>IF(D$15&gt;0,D13*100/D$15,0)</f>
        <v>5.070007369196757E-3</v>
      </c>
      <c r="F13" s="657">
        <f t="shared" si="9"/>
        <v>4.6470000000000002</v>
      </c>
      <c r="G13" s="702">
        <f t="shared" si="2"/>
        <v>0.15453575921552901</v>
      </c>
      <c r="H13" s="687">
        <v>4.5759999999999996</v>
      </c>
      <c r="I13" s="657">
        <f>IF(H$15&gt;0,H13*100/H$15,0)</f>
        <v>0.20686272515420898</v>
      </c>
      <c r="J13" s="689">
        <v>4.1000000000000002E-2</v>
      </c>
      <c r="K13" s="657">
        <f>IF(J$15&gt;0,J13*100/J$15,0)</f>
        <v>4.7456395096481174E-3</v>
      </c>
      <c r="L13" s="657">
        <f t="shared" si="11"/>
        <v>4.617</v>
      </c>
      <c r="M13" s="702">
        <f t="shared" si="4"/>
        <v>0.15009528466089256</v>
      </c>
      <c r="N13" s="660">
        <f>IF(F13&lt;&gt;0,L13*100/F13,"-")</f>
        <v>99.354422207876041</v>
      </c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14.4" x14ac:dyDescent="0.3">
      <c r="A14" s="128" t="s">
        <v>436</v>
      </c>
      <c r="B14" s="687">
        <v>19.221</v>
      </c>
      <c r="C14" s="657">
        <f>IF(B$15&gt;0,B14*100/B$15,0)</f>
        <v>0.89029554236187469</v>
      </c>
      <c r="D14" s="689">
        <v>26.318999999999999</v>
      </c>
      <c r="E14" s="657">
        <f>IF(D$15&gt;0,D14*100/D$15,0)</f>
        <v>3.1031982313927782</v>
      </c>
      <c r="F14" s="657">
        <f t="shared" si="9"/>
        <v>45.54</v>
      </c>
      <c r="G14" s="702">
        <f t="shared" si="2"/>
        <v>1.5144304873413366</v>
      </c>
      <c r="H14" s="687">
        <v>18.626000000000001</v>
      </c>
      <c r="I14" s="657">
        <f>IF(H$15&gt;0,H14*100/H$15,0)</f>
        <v>0.84200723748301942</v>
      </c>
      <c r="J14" s="689">
        <v>27.664999999999999</v>
      </c>
      <c r="K14" s="657">
        <f>IF(J$15&gt;0,J14*100/J$15,0)</f>
        <v>3.2021491959613453</v>
      </c>
      <c r="L14" s="657">
        <f t="shared" si="11"/>
        <v>46.290999999999997</v>
      </c>
      <c r="M14" s="702">
        <f t="shared" si="4"/>
        <v>1.504886467887671</v>
      </c>
      <c r="N14" s="660">
        <f t="shared" si="5"/>
        <v>101.64909969257795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s="125" customFormat="1" ht="14.1" customHeight="1" thickBot="1" x14ac:dyDescent="0.35">
      <c r="A15" s="704" t="s">
        <v>95</v>
      </c>
      <c r="B15" s="697">
        <f>SUM(B7:B14)</f>
        <v>2158.9459999999999</v>
      </c>
      <c r="C15" s="699">
        <f>SUM(C7:C14)</f>
        <v>100</v>
      </c>
      <c r="D15" s="699">
        <f>SUM(D7:D14)</f>
        <v>848.125</v>
      </c>
      <c r="E15" s="699">
        <f t="shared" ref="E15:M15" si="12">SUM(E7:E14)</f>
        <v>100</v>
      </c>
      <c r="F15" s="699">
        <f>SUM(F7:F14)</f>
        <v>3007.0709999999999</v>
      </c>
      <c r="G15" s="705">
        <f t="shared" si="12"/>
        <v>100.00000000000001</v>
      </c>
      <c r="H15" s="697">
        <f t="shared" si="12"/>
        <v>2212.0950000000003</v>
      </c>
      <c r="I15" s="699">
        <f t="shared" si="12"/>
        <v>100</v>
      </c>
      <c r="J15" s="699">
        <f t="shared" si="12"/>
        <v>863.95099999999991</v>
      </c>
      <c r="K15" s="699">
        <f t="shared" si="12"/>
        <v>99.999999999999986</v>
      </c>
      <c r="L15" s="699">
        <f t="shared" si="12"/>
        <v>3076.0460000000003</v>
      </c>
      <c r="M15" s="705">
        <f t="shared" si="12"/>
        <v>99.999999999999986</v>
      </c>
      <c r="N15" s="706">
        <f t="shared" si="5"/>
        <v>102.29376027370157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ht="14.1" customHeight="1" x14ac:dyDescent="0.25"/>
  </sheetData>
  <customSheetViews>
    <customSheetView guid="{5507C501-9942-4310-9E0E-987180BD1180}">
      <selection sqref="A1:N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2" sqref="A2:A3"/>
      <pageMargins left="0.7" right="0.7" top="0.75" bottom="0.75" header="0.3" footer="0.3"/>
      <pageSetup paperSize="9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6" orientation="portrait" verticalDpi="0" r:id="rId3"/>
  <ignoredErrors>
    <ignoredError sqref="F7:F14 L7:L14" formula="1"/>
  </ignoredErrors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3"/>
  <dimension ref="A1:FW23"/>
  <sheetViews>
    <sheetView showGridLines="0" topLeftCell="A2" zoomScaleNormal="100" workbookViewId="0">
      <selection activeCell="A3" sqref="A3:F3"/>
    </sheetView>
  </sheetViews>
  <sheetFormatPr defaultColWidth="8.6640625" defaultRowHeight="12" x14ac:dyDescent="0.25"/>
  <cols>
    <col min="1" max="1" width="46.44140625" style="3" customWidth="1"/>
    <col min="2" max="6" width="8.5546875" style="3" customWidth="1"/>
    <col min="7" max="7" width="8.5546875" style="171" customWidth="1"/>
    <col min="8" max="8" width="8.6640625" style="3"/>
    <col min="9" max="14" width="5.77734375" style="3" customWidth="1"/>
    <col min="15" max="16384" width="8.6640625" style="3"/>
  </cols>
  <sheetData>
    <row r="1" spans="1:179" ht="14.4" hidden="1" x14ac:dyDescent="0.3">
      <c r="B1" s="118"/>
      <c r="C1" s="118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C2" s="147"/>
      <c r="D2" s="147"/>
      <c r="E2" s="147"/>
      <c r="F2" s="20"/>
      <c r="G2" s="559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customHeight="1" x14ac:dyDescent="0.3">
      <c r="A3" s="771" t="s">
        <v>264</v>
      </c>
      <c r="B3" s="772"/>
      <c r="C3" s="772"/>
      <c r="D3" s="772"/>
      <c r="E3" s="772"/>
      <c r="F3" s="772"/>
      <c r="G3" s="64" t="s">
        <v>354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customHeight="1" x14ac:dyDescent="0.3">
      <c r="A4" s="769" t="s">
        <v>10</v>
      </c>
      <c r="B4" s="730" t="s">
        <v>617</v>
      </c>
      <c r="C4" s="732"/>
      <c r="D4" s="730" t="s">
        <v>619</v>
      </c>
      <c r="E4" s="732"/>
      <c r="F4" s="744" t="s">
        <v>375</v>
      </c>
      <c r="G4" s="752" t="s">
        <v>376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24" x14ac:dyDescent="0.3">
      <c r="A5" s="770"/>
      <c r="B5" s="148" t="s">
        <v>92</v>
      </c>
      <c r="C5" s="149" t="s">
        <v>93</v>
      </c>
      <c r="D5" s="148" t="s">
        <v>92</v>
      </c>
      <c r="E5" s="149" t="s">
        <v>93</v>
      </c>
      <c r="F5" s="738"/>
      <c r="G5" s="752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2" customHeight="1" x14ac:dyDescent="0.3">
      <c r="A6" s="133" t="s">
        <v>600</v>
      </c>
      <c r="B6" s="134">
        <v>8354.1749999999993</v>
      </c>
      <c r="C6" s="135">
        <v>6695.1629999999996</v>
      </c>
      <c r="D6" s="134">
        <v>8450.5540000000001</v>
      </c>
      <c r="E6" s="135">
        <v>6700.7520000000004</v>
      </c>
      <c r="F6" s="47">
        <f>IF(B6&gt;0,D6*100/B6,"-")</f>
        <v>101.15366268961328</v>
      </c>
      <c r="G6" s="47">
        <f>IF(C6&gt;0,E6*100/C6,"-")</f>
        <v>100.08347817670759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2" customHeight="1" x14ac:dyDescent="0.3">
      <c r="A7" s="133" t="s">
        <v>96</v>
      </c>
      <c r="B7" s="136">
        <v>1333.143</v>
      </c>
      <c r="C7" s="137">
        <v>2358.3519999999999</v>
      </c>
      <c r="D7" s="136">
        <v>1248.3779999999999</v>
      </c>
      <c r="E7" s="137">
        <v>2401.924</v>
      </c>
      <c r="F7" s="567">
        <f t="shared" ref="F7:G10" si="0">IF(B7&gt;0,D7*100/B7,"-")</f>
        <v>93.641717355152437</v>
      </c>
      <c r="G7" s="47">
        <f t="shared" si="0"/>
        <v>101.84756134792431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2" customHeight="1" x14ac:dyDescent="0.3">
      <c r="A8" s="133" t="s">
        <v>438</v>
      </c>
      <c r="B8" s="134">
        <f>B6+B7</f>
        <v>9687.3179999999993</v>
      </c>
      <c r="C8" s="135">
        <f t="shared" ref="C8:E8" si="1">C6+C7</f>
        <v>9053.5149999999994</v>
      </c>
      <c r="D8" s="134">
        <f t="shared" si="1"/>
        <v>9698.9320000000007</v>
      </c>
      <c r="E8" s="135">
        <f t="shared" si="1"/>
        <v>9102.6759999999995</v>
      </c>
      <c r="F8" s="47">
        <f t="shared" si="0"/>
        <v>100.1198887039736</v>
      </c>
      <c r="G8" s="47">
        <f t="shared" si="0"/>
        <v>100.54300456783912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4" x14ac:dyDescent="0.3">
      <c r="A9" s="133" t="s">
        <v>601</v>
      </c>
      <c r="B9" s="136">
        <v>592.471</v>
      </c>
      <c r="C9" s="137">
        <v>277.07299999999998</v>
      </c>
      <c r="D9" s="136">
        <v>638.822</v>
      </c>
      <c r="E9" s="137">
        <v>275.77</v>
      </c>
      <c r="F9" s="567">
        <f t="shared" si="0"/>
        <v>107.82333650085826</v>
      </c>
      <c r="G9" s="47">
        <f t="shared" si="0"/>
        <v>99.529726822895057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s="125" customFormat="1" ht="12" customHeight="1" thickBot="1" x14ac:dyDescent="0.35">
      <c r="A10" s="138" t="s">
        <v>121</v>
      </c>
      <c r="B10" s="139">
        <f>B8-B9</f>
        <v>9094.8469999999998</v>
      </c>
      <c r="C10" s="140">
        <f t="shared" ref="C10:E10" si="2">C8-C9</f>
        <v>8776.4419999999991</v>
      </c>
      <c r="D10" s="139">
        <f t="shared" si="2"/>
        <v>9060.11</v>
      </c>
      <c r="E10" s="140">
        <f t="shared" si="2"/>
        <v>8826.905999999999</v>
      </c>
      <c r="F10" s="568">
        <f t="shared" si="0"/>
        <v>99.618058445623106</v>
      </c>
      <c r="G10" s="97">
        <f t="shared" si="0"/>
        <v>100.57499383007374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8" spans="1:7" x14ac:dyDescent="0.25">
      <c r="A18" s="150"/>
      <c r="B18" s="150"/>
      <c r="C18" s="150"/>
      <c r="D18" s="150"/>
      <c r="E18" s="150"/>
      <c r="F18" s="150"/>
      <c r="G18" s="150"/>
    </row>
    <row r="19" spans="1:7" x14ac:dyDescent="0.25">
      <c r="A19" s="23"/>
      <c r="B19" s="19"/>
      <c r="C19" s="19"/>
      <c r="D19" s="19"/>
      <c r="E19" s="19"/>
      <c r="F19" s="19"/>
      <c r="G19" s="19"/>
    </row>
    <row r="20" spans="1:7" x14ac:dyDescent="0.25">
      <c r="A20" s="23"/>
      <c r="B20" s="142"/>
      <c r="C20" s="142"/>
      <c r="D20" s="142"/>
      <c r="E20" s="142"/>
      <c r="F20" s="141"/>
      <c r="G20" s="19"/>
    </row>
    <row r="21" spans="1:7" x14ac:dyDescent="0.25">
      <c r="A21" s="23"/>
      <c r="B21" s="19"/>
      <c r="C21" s="19"/>
      <c r="D21" s="19"/>
      <c r="E21" s="19"/>
      <c r="F21" s="19"/>
      <c r="G21" s="19"/>
    </row>
    <row r="22" spans="1:7" x14ac:dyDescent="0.25">
      <c r="A22" s="23"/>
      <c r="B22" s="142"/>
      <c r="C22" s="142"/>
      <c r="D22" s="142"/>
      <c r="E22" s="142"/>
      <c r="F22" s="141"/>
      <c r="G22" s="19"/>
    </row>
    <row r="23" spans="1:7" x14ac:dyDescent="0.25">
      <c r="A23" s="24"/>
      <c r="B23" s="143"/>
      <c r="C23" s="143"/>
      <c r="D23" s="143"/>
      <c r="E23" s="143"/>
      <c r="F23" s="144"/>
      <c r="G23" s="145"/>
    </row>
  </sheetData>
  <customSheetViews>
    <customSheetView guid="{5507C501-9942-4310-9E0E-987180BD1180}">
      <selection activeCell="G5" sqref="G5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G5" sqref="G5"/>
      <pageMargins left="0.7" right="0.7" top="0.75" bottom="0.75" header="0.3" footer="0.3"/>
      <pageSetup paperSize="9" orientation="portrait" verticalDpi="0" r:id="rId2"/>
    </customSheetView>
  </customSheetViews>
  <mergeCells count="6">
    <mergeCell ref="G4:G5"/>
    <mergeCell ref="B4:C4"/>
    <mergeCell ref="D4:E4"/>
    <mergeCell ref="A4:A5"/>
    <mergeCell ref="A3:F3"/>
    <mergeCell ref="F4:F5"/>
  </mergeCells>
  <pageMargins left="0.7" right="0.7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K39"/>
  <sheetViews>
    <sheetView zoomScaleNormal="100" workbookViewId="0"/>
  </sheetViews>
  <sheetFormatPr defaultRowHeight="14.4" x14ac:dyDescent="0.3"/>
  <cols>
    <col min="1" max="1" width="16.33203125" bestFit="1" customWidth="1"/>
    <col min="2" max="2" width="89.44140625" customWidth="1"/>
    <col min="6" max="6" width="6.5546875" customWidth="1"/>
  </cols>
  <sheetData>
    <row r="1" spans="1:167" s="38" customFormat="1" ht="15.75" customHeight="1" thickBot="1" x14ac:dyDescent="0.35">
      <c r="A1" s="42" t="s">
        <v>308</v>
      </c>
      <c r="B1" s="42"/>
      <c r="C1" s="27"/>
      <c r="D1" s="27"/>
      <c r="E1" s="27"/>
      <c r="F1" s="27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</row>
    <row r="2" spans="1:167" ht="15" thickTop="1" x14ac:dyDescent="0.3">
      <c r="A2" s="40" t="s">
        <v>483</v>
      </c>
      <c r="B2" s="1" t="s">
        <v>255</v>
      </c>
    </row>
    <row r="3" spans="1:167" x14ac:dyDescent="0.3">
      <c r="A3" s="40" t="s">
        <v>277</v>
      </c>
      <c r="B3" s="1" t="s">
        <v>256</v>
      </c>
      <c r="C3" s="40"/>
      <c r="D3" s="1"/>
    </row>
    <row r="4" spans="1:167" x14ac:dyDescent="0.3">
      <c r="A4" s="40" t="s">
        <v>278</v>
      </c>
      <c r="B4" s="1" t="s">
        <v>257</v>
      </c>
      <c r="C4" s="40"/>
      <c r="D4" s="43"/>
    </row>
    <row r="5" spans="1:167" x14ac:dyDescent="0.3">
      <c r="A5" s="40" t="s">
        <v>201</v>
      </c>
      <c r="B5" s="1" t="s">
        <v>423</v>
      </c>
      <c r="C5" s="40"/>
      <c r="D5" s="43"/>
    </row>
    <row r="6" spans="1:167" x14ac:dyDescent="0.3">
      <c r="A6" s="40" t="s">
        <v>279</v>
      </c>
      <c r="B6" s="1" t="s">
        <v>258</v>
      </c>
    </row>
    <row r="7" spans="1:167" x14ac:dyDescent="0.3">
      <c r="A7" s="40" t="s">
        <v>202</v>
      </c>
      <c r="B7" s="1" t="s">
        <v>259</v>
      </c>
    </row>
    <row r="8" spans="1:167" x14ac:dyDescent="0.3">
      <c r="A8" s="40" t="s">
        <v>280</v>
      </c>
      <c r="B8" s="1" t="s">
        <v>260</v>
      </c>
    </row>
    <row r="9" spans="1:167" x14ac:dyDescent="0.3">
      <c r="A9" s="40" t="s">
        <v>281</v>
      </c>
      <c r="B9" s="1" t="s">
        <v>452</v>
      </c>
    </row>
    <row r="10" spans="1:167" x14ac:dyDescent="0.3">
      <c r="A10" s="40" t="s">
        <v>203</v>
      </c>
      <c r="B10" s="1" t="s">
        <v>309</v>
      </c>
    </row>
    <row r="11" spans="1:167" x14ac:dyDescent="0.3">
      <c r="A11" s="40" t="s">
        <v>282</v>
      </c>
      <c r="B11" s="1" t="s">
        <v>261</v>
      </c>
    </row>
    <row r="12" spans="1:167" x14ac:dyDescent="0.3">
      <c r="A12" s="40" t="s">
        <v>204</v>
      </c>
      <c r="B12" s="1" t="s">
        <v>262</v>
      </c>
    </row>
    <row r="13" spans="1:167" x14ac:dyDescent="0.3">
      <c r="A13" s="40" t="s">
        <v>283</v>
      </c>
      <c r="B13" s="1" t="s">
        <v>263</v>
      </c>
    </row>
    <row r="14" spans="1:167" x14ac:dyDescent="0.3">
      <c r="A14" s="40" t="s">
        <v>284</v>
      </c>
      <c r="B14" s="1" t="s">
        <v>311</v>
      </c>
    </row>
    <row r="15" spans="1:167" x14ac:dyDescent="0.3">
      <c r="A15" s="40" t="s">
        <v>285</v>
      </c>
      <c r="B15" s="1" t="s">
        <v>310</v>
      </c>
    </row>
    <row r="16" spans="1:167" x14ac:dyDescent="0.3">
      <c r="A16" s="40" t="s">
        <v>286</v>
      </c>
      <c r="B16" s="1" t="s">
        <v>456</v>
      </c>
    </row>
    <row r="17" spans="1:6" x14ac:dyDescent="0.3">
      <c r="A17" s="40" t="s">
        <v>287</v>
      </c>
      <c r="B17" s="1" t="s">
        <v>457</v>
      </c>
    </row>
    <row r="18" spans="1:6" x14ac:dyDescent="0.3">
      <c r="A18" s="40" t="s">
        <v>288</v>
      </c>
      <c r="B18" s="1" t="s">
        <v>264</v>
      </c>
    </row>
    <row r="19" spans="1:6" x14ac:dyDescent="0.3">
      <c r="A19" s="40" t="s">
        <v>205</v>
      </c>
      <c r="B19" s="1" t="s">
        <v>312</v>
      </c>
    </row>
    <row r="20" spans="1:6" x14ac:dyDescent="0.3">
      <c r="A20" s="40" t="s">
        <v>289</v>
      </c>
      <c r="B20" s="1" t="s">
        <v>265</v>
      </c>
    </row>
    <row r="21" spans="1:6" x14ac:dyDescent="0.3">
      <c r="A21" s="40" t="s">
        <v>290</v>
      </c>
      <c r="B21" s="1" t="s">
        <v>266</v>
      </c>
    </row>
    <row r="22" spans="1:6" x14ac:dyDescent="0.3">
      <c r="A22" s="40" t="s">
        <v>291</v>
      </c>
      <c r="B22" s="1" t="s">
        <v>267</v>
      </c>
    </row>
    <row r="23" spans="1:6" x14ac:dyDescent="0.3">
      <c r="A23" s="40" t="s">
        <v>292</v>
      </c>
      <c r="B23" s="1" t="s">
        <v>268</v>
      </c>
    </row>
    <row r="24" spans="1:6" x14ac:dyDescent="0.3">
      <c r="A24" s="40" t="s">
        <v>293</v>
      </c>
      <c r="B24" s="1" t="s">
        <v>269</v>
      </c>
    </row>
    <row r="25" spans="1:6" x14ac:dyDescent="0.3">
      <c r="A25" s="40" t="s">
        <v>294</v>
      </c>
      <c r="B25" s="1" t="s">
        <v>270</v>
      </c>
      <c r="C25" s="41"/>
    </row>
    <row r="26" spans="1:6" x14ac:dyDescent="0.3">
      <c r="A26" s="40" t="s">
        <v>295</v>
      </c>
      <c r="B26" s="1" t="s">
        <v>271</v>
      </c>
      <c r="C26" s="41"/>
    </row>
    <row r="27" spans="1:6" x14ac:dyDescent="0.3">
      <c r="A27" s="40" t="s">
        <v>296</v>
      </c>
      <c r="B27" s="1" t="s">
        <v>272</v>
      </c>
      <c r="C27" s="41"/>
    </row>
    <row r="28" spans="1:6" x14ac:dyDescent="0.3">
      <c r="A28" s="40" t="s">
        <v>297</v>
      </c>
      <c r="B28" s="540" t="s">
        <v>5</v>
      </c>
      <c r="C28" s="41"/>
    </row>
    <row r="29" spans="1:6" x14ac:dyDescent="0.3">
      <c r="A29" s="40" t="s">
        <v>298</v>
      </c>
      <c r="B29" s="540" t="s">
        <v>273</v>
      </c>
      <c r="C29" s="41"/>
    </row>
    <row r="30" spans="1:6" x14ac:dyDescent="0.3">
      <c r="A30" s="40" t="s">
        <v>299</v>
      </c>
      <c r="B30" s="540" t="s">
        <v>274</v>
      </c>
      <c r="C30" s="41"/>
      <c r="D30" s="40"/>
      <c r="E30" s="540"/>
      <c r="F30" s="541"/>
    </row>
    <row r="31" spans="1:6" x14ac:dyDescent="0.3">
      <c r="A31" s="40" t="s">
        <v>300</v>
      </c>
      <c r="B31" s="540" t="s">
        <v>275</v>
      </c>
      <c r="C31" s="41"/>
      <c r="D31" s="40"/>
      <c r="E31" s="540"/>
    </row>
    <row r="32" spans="1:6" x14ac:dyDescent="0.3">
      <c r="A32" s="40" t="s">
        <v>301</v>
      </c>
      <c r="B32" s="540" t="s">
        <v>427</v>
      </c>
      <c r="C32" s="41"/>
      <c r="D32" s="40"/>
      <c r="E32" s="540"/>
    </row>
    <row r="33" spans="1:5" x14ac:dyDescent="0.3">
      <c r="A33" s="40" t="s">
        <v>302</v>
      </c>
      <c r="B33" s="1" t="s">
        <v>576</v>
      </c>
      <c r="C33" s="41"/>
      <c r="D33" s="40"/>
      <c r="E33" s="540"/>
    </row>
    <row r="34" spans="1:5" x14ac:dyDescent="0.3">
      <c r="A34" s="40" t="s">
        <v>303</v>
      </c>
      <c r="B34" s="540" t="s">
        <v>386</v>
      </c>
      <c r="C34" s="41"/>
      <c r="D34" s="40"/>
      <c r="E34" s="540"/>
    </row>
    <row r="35" spans="1:5" x14ac:dyDescent="0.3">
      <c r="A35" s="40" t="s">
        <v>304</v>
      </c>
      <c r="B35" s="540" t="s">
        <v>398</v>
      </c>
      <c r="C35" s="41"/>
      <c r="D35" s="40"/>
      <c r="E35" s="540"/>
    </row>
    <row r="36" spans="1:5" x14ac:dyDescent="0.3">
      <c r="A36" s="40" t="s">
        <v>305</v>
      </c>
      <c r="B36" s="540" t="s">
        <v>314</v>
      </c>
      <c r="C36" s="41"/>
      <c r="D36" s="40"/>
      <c r="E36" s="540"/>
    </row>
    <row r="37" spans="1:5" x14ac:dyDescent="0.3">
      <c r="A37" s="39" t="s">
        <v>306</v>
      </c>
      <c r="B37" s="1" t="s">
        <v>276</v>
      </c>
    </row>
    <row r="38" spans="1:5" x14ac:dyDescent="0.3">
      <c r="A38" s="39" t="s">
        <v>307</v>
      </c>
      <c r="B38" s="1" t="s">
        <v>484</v>
      </c>
    </row>
    <row r="39" spans="1:5" x14ac:dyDescent="0.3">
      <c r="A39" s="39" t="s">
        <v>440</v>
      </c>
      <c r="B39" s="1" t="s">
        <v>263</v>
      </c>
    </row>
  </sheetData>
  <customSheetViews>
    <customSheetView guid="{5507C501-9942-4310-9E0E-987180BD1180}">
      <selection activeCell="B30" sqref="B30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B1" sqref="B1:B9"/>
      <pageMargins left="0.7" right="0.7" top="0.75" bottom="0.75" header="0.3" footer="0.3"/>
      <pageSetup paperSize="9" orientation="portrait" verticalDpi="0" r:id="rId2"/>
    </customSheetView>
  </customSheetViews>
  <phoneticPr fontId="18" type="noConversion"/>
  <conditionalFormatting sqref="A30:A36">
    <cfRule type="cellIs" dxfId="6" priority="17" operator="equal">
      <formula>"ne"</formula>
    </cfRule>
    <cfRule type="cellIs" dxfId="5" priority="18" operator="equal">
      <formula>"da"</formula>
    </cfRule>
  </conditionalFormatting>
  <conditionalFormatting sqref="D32:D36">
    <cfRule type="cellIs" dxfId="4" priority="35" operator="equal">
      <formula>"ne"</formula>
    </cfRule>
    <cfRule type="cellIs" dxfId="3" priority="36" operator="equal">
      <formula>"da"</formula>
    </cfRule>
  </conditionalFormatting>
  <hyperlinks>
    <hyperlink ref="B2" location="'Tab 0'!B2" display="Банке РС и организациони дијелови банака из ФБиХ у РС" xr:uid="{1AEC6CF1-AC2D-4903-9C4D-DD3C8A22EE1A}"/>
    <hyperlink ref="B3" location="'Tab 1'!A1" display="Тржишно учешће банака у укупној активи, капиталу и депозитима" xr:uid="{84E8AFBA-C125-4672-A87E-2A70EE909A41}"/>
    <hyperlink ref="B4" location="'Tab 2'!A2" display="Актива по запосленом" xr:uid="{6E1D996F-FAB7-433D-AAAC-F6173626F9D4}"/>
    <hyperlink ref="B5" location="'Tab 3'!A3" display="Биланс стања" xr:uid="{D14624FE-895A-4DC8-B1E0-521A1A128DF2}"/>
    <hyperlink ref="B6" location="'Tab 4'!A3" display="Секторска структура депозита" xr:uid="{9EB5B2CB-CEA3-4303-90C4-18B87786CB24}"/>
    <hyperlink ref="B7" location="'Tab 5'!A3" display="Структура депозита по валути" xr:uid="{4E63B319-1556-4A5C-AFF9-5A5A312E567D}"/>
    <hyperlink ref="B8" location="'Tab 6'!A3" display="Рочна структура депозита" xr:uid="{9CCBB879-9635-4533-980B-9829759BA2E8}"/>
    <hyperlink ref="B9" location="'Tab 7'!A3" display="Кредити и штедња грађана" xr:uid="{380AFE8E-83EA-43A4-80E3-8C80F4D6FF01}"/>
    <hyperlink ref="B10" location="'Tab 8'!A3" display="Рочна и секторска структура депозита" xr:uid="{4671E7D2-CAEE-4443-943D-66ACB57B12F4}"/>
    <hyperlink ref="B11" location="'Tab 9'!A3" display="Структура ванбилансне активе" xr:uid="{41A9DCB2-1076-41F0-81C7-3AF412B88DBD}"/>
    <hyperlink ref="B12" location="'Tab 10'!A3" display="Структура новчаних средстава" xr:uid="{272F4157-161E-4545-B3C0-74DCA61A437C}"/>
    <hyperlink ref="B13" location="'Tab 11'!A3" display="Секторска структура укупних кредита" xr:uid="{A4FC7CC8-0690-4252-87E1-4ABEBA122EEF}"/>
    <hyperlink ref="B14" location="'Tab 12'!A3" display="Рочна структура кредита" xr:uid="{6A4786E6-A00F-47EC-B3D2-71899D3D070C}"/>
    <hyperlink ref="B15" location="'Tab 13'!A3" display="Рочна и секторска структура кредита" xr:uid="{36A98099-B80B-451D-A70C-8A945384CE4F}"/>
    <hyperlink ref="B16" location="'Tab 14'!A3" display="Структура кредита грађанима банака РС и посл. јединица банака из ФБиХ" xr:uid="{5D4E48C3-450A-4C54-AA96-4F5ABF610385}"/>
    <hyperlink ref="B17" location="'Tab 15'!A3" display="Намјенска структура кредита грађанима за општу потрошњу" xr:uid="{2055AC4C-518E-4490-BA21-DC8E33DE4007}"/>
    <hyperlink ref="B18" location="'Tab 16'!A3" display="Прикупљени депозити и пласирани кредити" xr:uid="{DC778D3D-A58A-4929-A3C5-1B60F21CE8CB}"/>
    <hyperlink ref="B19" location="'Tab 17'!A4" display="Задуженост становништва по кредитима (осим кредита за обављање дјелатности)" xr:uid="{8DA25360-30E2-4596-9947-2428BB3EA5C5}"/>
    <hyperlink ref="B20" location="'Tab 18'!A2" display="Биланс успјеха банкарског сектора РС" xr:uid="{62ACE5CD-CDFE-41DD-84D4-38926F7CD75F}"/>
    <hyperlink ref="B21" location="'Tab 19'!A2" display="ROAA и ROAE показатељи" xr:uid="{762BC80F-5B8A-473C-9821-F4CA0C8B9608}"/>
    <hyperlink ref="B22" location="'Tab 20'!A4" display="Укупна финансијска имовина према начину вредновања и ЕCL" xr:uid="{5AAFC8B0-65A3-4C6F-9E4C-37D83D04070F}"/>
    <hyperlink ref="B23" location="'Tab 21'!A4" display="Укупна финансијска имовина према нивоима кредитног ризика" xr:uid="{B9FE4D14-C8DF-477A-888B-A25148AAE185}"/>
    <hyperlink ref="B24" location="'Tab 22'!A4" display="Преглед кредита правним и физичким лицима према нивоу кредитног ризика и припадајући ECL" xr:uid="{74D65474-04C4-40D2-8165-36A501B1E7E5}"/>
    <hyperlink ref="B25" location="'Tab 23'!A1" display="Просјечне пондерисане каматне стопе на кредите" xr:uid="{A9154189-E671-4A2E-9C26-10C3394AE489}"/>
    <hyperlink ref="B26" location="'Tab 24'!A3" display="Просјечне пондерисане каматне стопе на депозите" xr:uid="{92EF3B93-A82E-4851-A14D-2E5F3019AA11}"/>
    <hyperlink ref="B27" location="'Tab 25'!B2" display="Просјечне пондерисане каматне стопе на прекорачења и депозите по виђењу" xr:uid="{BB506F46-4E92-4B0C-8D99-174B219B9E5E}"/>
    <hyperlink ref="B28" location="'Tab 26'!B2" display="Структура капитала" xr:uid="{A28A0ED7-B554-41F3-9DF2-57AF4D03DB05}"/>
    <hyperlink ref="B29" location="'Tab 27'!A1" display="Укупна изложеност банкарског сектора ризику " xr:uid="{782AD2F4-215A-4C47-9298-E7C7C0634718}"/>
    <hyperlink ref="B30" location="'Tab 28'!B2" display="Показатељи адекватности капитала" xr:uid="{01E4A053-2F45-468D-B263-D3ACF786645D}"/>
    <hyperlink ref="B31" location="'Tab 29'!B2" display="Стопа финансијске полуге" xr:uid="{3CCC15E8-CBE1-46AF-9373-08EE1D9948F2}"/>
    <hyperlink ref="B32" location="'Tab 30'!B2" display="Коефицијент покрића ликвидности - LCR" xr:uid="{039B9ED3-7663-4FE9-B3B1-826A455693C7}"/>
    <hyperlink ref="B33" location="'Tab 31'!A2" display="Коефицијент нето стабилних извора финансирања - NSFR" xr:uid="{CAF31193-6B6D-4FDF-9DCC-98B500579182}"/>
    <hyperlink ref="B34" location="'Tab 32'!B2" display="Рочна структура депозита по преосталом доспијећу" xr:uid="{B0F677D9-1D65-44B6-87A8-5723B80A826D}"/>
    <hyperlink ref="B35" location="'Tab 33'!B2" display="Показатељи ликвидности" xr:uid="{2859A9F6-8094-41CF-9A53-A98CC3A0E225}"/>
    <hyperlink ref="B36" location="'Tab 34'!B2" display="Унутрашњи платни промет" xr:uid="{4E6A0AE0-677C-4203-ADC8-E0E95A396521}"/>
    <hyperlink ref="B37" location="'Pr 1'!B2" display="Основни подаци о банкама" xr:uid="{4E9CDC16-B4B4-45F9-9757-EE740CEE7BD2}"/>
    <hyperlink ref="B38" location="'Pr 2'!A2" display="Биланс успјеха" xr:uid="{FC229E46-595F-4EEE-8649-9BEE3A79A954}"/>
    <hyperlink ref="B39" location="'Pr 3'!A2" display="Секторска структура укупних кредита" xr:uid="{2EB5EA20-8F9F-46C1-B253-7AE66C1E4D07}"/>
  </hyperlinks>
  <pageMargins left="0.7" right="0.7" top="0.75" bottom="0.75" header="0.3" footer="0.3"/>
  <pageSetup paperSize="9" orientation="portrait" verticalDpi="0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110">
    <tabColor theme="0" tint="-4.9989318521683403E-2"/>
  </sheetPr>
  <dimension ref="A1:FY10"/>
  <sheetViews>
    <sheetView showGridLines="0" topLeftCell="B3" zoomScaleNormal="100" workbookViewId="0">
      <selection activeCell="B4" sqref="B4"/>
    </sheetView>
  </sheetViews>
  <sheetFormatPr defaultColWidth="9.109375" defaultRowHeight="12" x14ac:dyDescent="0.25"/>
  <cols>
    <col min="1" max="1" width="4.5546875" style="20" hidden="1" customWidth="1"/>
    <col min="2" max="2" width="45" style="3" customWidth="1"/>
    <col min="3" max="6" width="10.5546875" style="3" customWidth="1"/>
    <col min="7" max="7" width="9.109375" style="3"/>
    <col min="8" max="14" width="5.77734375" style="3" customWidth="1"/>
    <col min="15" max="16384" width="9.109375" style="3"/>
  </cols>
  <sheetData>
    <row r="1" spans="2:181" ht="14.4" hidden="1" x14ac:dyDescent="0.3">
      <c r="B1" s="146"/>
      <c r="C1" s="146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</row>
    <row r="2" spans="2:181" ht="14.4" hidden="1" x14ac:dyDescent="0.3"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</row>
    <row r="3" spans="2:181" ht="14.4" x14ac:dyDescent="0.3"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</row>
    <row r="4" spans="2:181" ht="14.4" customHeight="1" x14ac:dyDescent="0.25">
      <c r="B4" s="117" t="s">
        <v>312</v>
      </c>
      <c r="C4" s="45"/>
      <c r="D4" s="45"/>
      <c r="E4" s="45"/>
      <c r="F4" s="260" t="s">
        <v>354</v>
      </c>
    </row>
    <row r="5" spans="2:181" ht="22.8" customHeight="1" x14ac:dyDescent="0.25">
      <c r="B5" s="164" t="s">
        <v>10</v>
      </c>
      <c r="C5" s="414" t="s">
        <v>610</v>
      </c>
      <c r="D5" s="230" t="s">
        <v>617</v>
      </c>
      <c r="E5" s="415" t="s">
        <v>619</v>
      </c>
      <c r="F5" s="153" t="str">
        <f>IF(LEN(E5)&gt;5,"Индекс " &amp; MID(E5,1,2) &amp; "-" &amp; MID(E5,4,5) &amp; "/" &amp; D5,"Индекс " &amp; E5 &amp; "/" &amp; D5)</f>
        <v>Индекс 03-2025./2024.</v>
      </c>
    </row>
    <row r="6" spans="2:181" ht="12" customHeight="1" x14ac:dyDescent="0.25">
      <c r="B6" s="151" t="s">
        <v>547</v>
      </c>
      <c r="C6" s="416"/>
      <c r="D6" s="353"/>
      <c r="E6" s="417"/>
      <c r="F6" s="152" t="str">
        <f>IF(D6&gt;0,E6*100/D6,"-")</f>
        <v>-</v>
      </c>
    </row>
    <row r="7" spans="2:181" ht="12" customHeight="1" x14ac:dyDescent="0.25">
      <c r="B7" s="438" t="s">
        <v>587</v>
      </c>
      <c r="C7" s="416">
        <v>2836.4270000000001</v>
      </c>
      <c r="D7" s="236">
        <v>3141.4479999999999</v>
      </c>
      <c r="E7" s="418">
        <v>3223.3009999999999</v>
      </c>
      <c r="F7" s="152">
        <f t="shared" ref="F7" si="0">IF(D7&gt;0,E7*100/D7,"-")</f>
        <v>102.60558188453223</v>
      </c>
    </row>
    <row r="8" spans="2:181" ht="12" customHeight="1" x14ac:dyDescent="0.25">
      <c r="B8" s="438" t="s">
        <v>588</v>
      </c>
      <c r="C8" s="416">
        <v>97.466999999999999</v>
      </c>
      <c r="D8" s="236">
        <v>98.73</v>
      </c>
      <c r="E8" s="418">
        <v>99.241</v>
      </c>
      <c r="F8" s="152">
        <f>IF(D8&gt;0,E8*100/D8,"-")</f>
        <v>100.5175731793781</v>
      </c>
    </row>
    <row r="9" spans="2:181" ht="12" customHeight="1" x14ac:dyDescent="0.25">
      <c r="B9" s="438" t="s">
        <v>589</v>
      </c>
      <c r="C9" s="447">
        <v>985.399</v>
      </c>
      <c r="D9" s="448">
        <v>1102.6369999999999</v>
      </c>
      <c r="E9" s="449">
        <v>1130.0619999999999</v>
      </c>
      <c r="F9" s="152">
        <f t="shared" ref="F9" si="1">IF(D9&gt;0,E9*100/D9,"-")</f>
        <v>102.48721927524652</v>
      </c>
    </row>
    <row r="10" spans="2:181" ht="12" customHeight="1" thickBot="1" x14ac:dyDescent="0.3">
      <c r="B10" s="419" t="s">
        <v>147</v>
      </c>
      <c r="C10" s="420">
        <f>C7-C8+C9</f>
        <v>3724.3589999999999</v>
      </c>
      <c r="D10" s="421">
        <f>D7-D8+D9</f>
        <v>4145.3549999999996</v>
      </c>
      <c r="E10" s="422">
        <f>E7-E8+E9</f>
        <v>4254.1219999999994</v>
      </c>
      <c r="F10" s="423">
        <f>IF(D10&gt;0,E10*100/D10,"-")</f>
        <v>102.62382835728182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C32F-3E4D-410C-8F47-7BC9B49271EC}">
  <sheetPr codeName="Sheet76"/>
  <dimension ref="A1:FW21"/>
  <sheetViews>
    <sheetView showGridLines="0" zoomScaleNormal="100" workbookViewId="0">
      <selection activeCell="A2" sqref="A2"/>
    </sheetView>
  </sheetViews>
  <sheetFormatPr defaultColWidth="8.6640625" defaultRowHeight="12" x14ac:dyDescent="0.25"/>
  <cols>
    <col min="1" max="1" width="49.33203125" style="3" bestFit="1" customWidth="1"/>
    <col min="2" max="4" width="8.6640625" style="3" bestFit="1" customWidth="1"/>
    <col min="5" max="5" width="7.44140625" style="3" bestFit="1" customWidth="1"/>
    <col min="6" max="6" width="10.109375" style="3" customWidth="1"/>
    <col min="7" max="7" width="8.6640625" style="3" customWidth="1"/>
    <col min="8" max="8" width="0" style="3" hidden="1" customWidth="1"/>
    <col min="9" max="14" width="5.77734375" style="3" customWidth="1"/>
    <col min="15" max="16384" width="8.6640625" style="3"/>
  </cols>
  <sheetData>
    <row r="1" spans="1:179" ht="14.4" x14ac:dyDescent="0.3">
      <c r="A1" s="13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customHeight="1" x14ac:dyDescent="0.3">
      <c r="A2" s="45" t="s">
        <v>599</v>
      </c>
      <c r="B2" s="45"/>
      <c r="C2" s="45"/>
      <c r="D2" s="45"/>
      <c r="E2" s="45"/>
      <c r="F2" s="260" t="s">
        <v>354</v>
      </c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x14ac:dyDescent="0.3">
      <c r="A3" s="773" t="s">
        <v>10</v>
      </c>
      <c r="B3" s="775" t="s">
        <v>622</v>
      </c>
      <c r="C3" s="776"/>
      <c r="D3" s="775" t="s">
        <v>619</v>
      </c>
      <c r="E3" s="776"/>
      <c r="F3" s="777" t="str">
        <f>IF(LEN(D3)&gt;5,"Индекс " &amp; MID(D3,1,2) &amp; "-" &amp; MID(D3,4,5) &amp; "/" &amp; IF(LEN(B3)&gt;5,MID(B3,1,2) &amp; "-" &amp; MID(B3,4,5),B3),"Индекс " &amp; D3 &amp; "/" &amp; IF(LEN(B3)&gt;5,MID(B3,1,2) &amp; "-" &amp; MID(B3,4,5),B3))</f>
        <v>Индекс 03-2025./03-2024.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x14ac:dyDescent="0.3">
      <c r="A4" s="774"/>
      <c r="B4" s="488" t="s">
        <v>2</v>
      </c>
      <c r="C4" s="489" t="s">
        <v>3</v>
      </c>
      <c r="D4" s="488" t="s">
        <v>2</v>
      </c>
      <c r="E4" s="489" t="s">
        <v>3</v>
      </c>
      <c r="F4" s="778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14.1" customHeight="1" x14ac:dyDescent="0.3">
      <c r="A5" s="490" t="s">
        <v>558</v>
      </c>
      <c r="B5" s="496"/>
      <c r="C5" s="491"/>
      <c r="D5" s="496"/>
      <c r="E5" s="491"/>
      <c r="F5" s="492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4.1" customHeight="1" x14ac:dyDescent="0.3">
      <c r="A6" s="493" t="s">
        <v>100</v>
      </c>
      <c r="B6" s="154">
        <v>113.72499999999999</v>
      </c>
      <c r="C6" s="494">
        <f>IF(B$8&lt;&gt;0,B6*100/B$8,0)</f>
        <v>66.017856313565218</v>
      </c>
      <c r="D6" s="154">
        <v>117.33799999999999</v>
      </c>
      <c r="E6" s="494">
        <f>IF(D$8&lt;&gt;0,D6*100/D$8,0)</f>
        <v>65.049727799891329</v>
      </c>
      <c r="F6" s="495">
        <f>IF(B6&lt;&gt;0,D6/B6*100,"-")</f>
        <v>103.17696196966367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1" customHeight="1" x14ac:dyDescent="0.3">
      <c r="A7" s="493" t="s">
        <v>559</v>
      </c>
      <c r="B7" s="154">
        <v>58.539000000000001</v>
      </c>
      <c r="C7" s="494">
        <f>IF(B$8&lt;&gt;0,B7*100/B$8,0)</f>
        <v>33.982143686434775</v>
      </c>
      <c r="D7" s="154">
        <v>63.043999999999997</v>
      </c>
      <c r="E7" s="494">
        <f>IF(D$8&lt;&gt;0,D7*100/D$8,0)</f>
        <v>34.950272200108657</v>
      </c>
      <c r="F7" s="495">
        <f>IF(B7&lt;&gt;0,D7/B7*100,"-")</f>
        <v>107.69572421804266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x14ac:dyDescent="0.3">
      <c r="A8" s="490" t="s">
        <v>560</v>
      </c>
      <c r="B8" s="496">
        <f>SUM(B6:B7)</f>
        <v>172.26400000000001</v>
      </c>
      <c r="C8" s="497">
        <f>SUM(C6:C7)</f>
        <v>100</v>
      </c>
      <c r="D8" s="496">
        <f>SUM(D6:D7)</f>
        <v>180.38200000000001</v>
      </c>
      <c r="E8" s="497">
        <f>SUM(E6:E7)</f>
        <v>99.999999999999986</v>
      </c>
      <c r="F8" s="507">
        <f>IF(B8&lt;&gt;0,D8/B8*100,"-")</f>
        <v>104.71253424975619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1" customHeight="1" x14ac:dyDescent="0.3">
      <c r="A9" s="490" t="s">
        <v>561</v>
      </c>
      <c r="B9" s="496"/>
      <c r="C9" s="491"/>
      <c r="D9" s="496"/>
      <c r="E9" s="491"/>
      <c r="F9" s="495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1" customHeight="1" x14ac:dyDescent="0.3">
      <c r="A10" s="493" t="s">
        <v>562</v>
      </c>
      <c r="B10" s="154">
        <v>18.754000000000001</v>
      </c>
      <c r="C10" s="494">
        <f>IF(B$13&lt;&gt;0,B10*100/B$13,0)</f>
        <v>16.79066727547832</v>
      </c>
      <c r="D10" s="154">
        <v>21.806000000000001</v>
      </c>
      <c r="E10" s="494">
        <f>IF(D$13&lt;&gt;0,D10*100/D$13,0)</f>
        <v>18.820016225639964</v>
      </c>
      <c r="F10" s="495">
        <f t="shared" ref="F10:F18" si="0">IF(B10&lt;&gt;0,D10/B10*100,"-")</f>
        <v>116.27386157619708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1" customHeight="1" x14ac:dyDescent="0.3">
      <c r="A11" s="493" t="s">
        <v>563</v>
      </c>
      <c r="B11" s="154">
        <v>19.66</v>
      </c>
      <c r="C11" s="494">
        <f>IF(B$13&lt;&gt;0,B11*100/B$13,0)</f>
        <v>17.601819272470074</v>
      </c>
      <c r="D11" s="154">
        <v>20.689</v>
      </c>
      <c r="E11" s="494">
        <f>IF(D$13&lt;&gt;0,D11*100/D$13,0)</f>
        <v>17.855971553346109</v>
      </c>
      <c r="F11" s="495">
        <f t="shared" si="0"/>
        <v>105.23397761953204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1" customHeight="1" x14ac:dyDescent="0.3">
      <c r="A12" s="493" t="s">
        <v>564</v>
      </c>
      <c r="B12" s="154">
        <v>73.278999999999996</v>
      </c>
      <c r="C12" s="494">
        <f>IF(B$13&lt;&gt;0,B12*100/B$13,0)</f>
        <v>65.607513452051606</v>
      </c>
      <c r="D12" s="154">
        <v>73.370999999999995</v>
      </c>
      <c r="E12" s="494">
        <f>IF(D$13&lt;&gt;0,D12*100/D$13,0)</f>
        <v>63.324012221013923</v>
      </c>
      <c r="F12" s="495">
        <f t="shared" si="0"/>
        <v>100.12554756478664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1" customHeight="1" x14ac:dyDescent="0.3">
      <c r="A13" s="490" t="s">
        <v>565</v>
      </c>
      <c r="B13" s="496">
        <f>SUM(B10:B12)</f>
        <v>111.693</v>
      </c>
      <c r="C13" s="497">
        <f>SUM(C10:C12)</f>
        <v>100</v>
      </c>
      <c r="D13" s="496">
        <f>SUM(D10:D12)</f>
        <v>115.866</v>
      </c>
      <c r="E13" s="497">
        <f>SUM(E10:E12)</f>
        <v>100</v>
      </c>
      <c r="F13" s="507">
        <f t="shared" si="0"/>
        <v>103.73613386693886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4.1" customHeight="1" x14ac:dyDescent="0.3">
      <c r="A14" s="490" t="s">
        <v>566</v>
      </c>
      <c r="B14" s="496">
        <f>B8-B13</f>
        <v>60.571000000000012</v>
      </c>
      <c r="C14" s="491"/>
      <c r="D14" s="496">
        <f>D8-D13</f>
        <v>64.516000000000005</v>
      </c>
      <c r="E14" s="491"/>
      <c r="F14" s="507">
        <f t="shared" si="0"/>
        <v>106.51301778078617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4.1" customHeight="1" x14ac:dyDescent="0.3">
      <c r="A15" s="490" t="s">
        <v>101</v>
      </c>
      <c r="B15" s="496">
        <v>60.570999999999998</v>
      </c>
      <c r="C15" s="491"/>
      <c r="D15" s="496">
        <v>64.516000000000005</v>
      </c>
      <c r="E15" s="491"/>
      <c r="F15" s="507">
        <f t="shared" si="0"/>
        <v>106.51301778078619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4.1" customHeight="1" x14ac:dyDescent="0.3">
      <c r="A16" s="490" t="s">
        <v>102</v>
      </c>
      <c r="B16" s="496">
        <v>0</v>
      </c>
      <c r="C16" s="491"/>
      <c r="D16" s="496">
        <v>0</v>
      </c>
      <c r="E16" s="491"/>
      <c r="F16" s="507" t="str">
        <f t="shared" si="0"/>
        <v>-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ht="14.1" customHeight="1" x14ac:dyDescent="0.3">
      <c r="A17" s="490" t="s">
        <v>103</v>
      </c>
      <c r="B17" s="498">
        <v>5.133</v>
      </c>
      <c r="C17" s="499"/>
      <c r="D17" s="498">
        <v>5.6639999999999997</v>
      </c>
      <c r="E17" s="499"/>
      <c r="F17" s="507">
        <f t="shared" si="0"/>
        <v>110.34482758620689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ht="14.1" customHeight="1" x14ac:dyDescent="0.3">
      <c r="A18" s="490" t="s">
        <v>104</v>
      </c>
      <c r="B18" s="154">
        <v>0.20899999999999999</v>
      </c>
      <c r="C18" s="500"/>
      <c r="D18" s="154">
        <v>0.25800000000000001</v>
      </c>
      <c r="E18" s="499"/>
      <c r="F18" s="507">
        <f t="shared" si="0"/>
        <v>123.44497607655502</v>
      </c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19" spans="1:179" ht="14.1" customHeight="1" x14ac:dyDescent="0.3">
      <c r="A19" s="490" t="s">
        <v>105</v>
      </c>
      <c r="B19" s="154">
        <v>0.184</v>
      </c>
      <c r="C19" s="500"/>
      <c r="D19" s="154">
        <v>0.108</v>
      </c>
      <c r="E19" s="499"/>
      <c r="F19" s="507">
        <f t="shared" ref="F19" si="1">IF(B19&lt;&gt;0,D19/B19*100,"-")</f>
        <v>58.695652173913047</v>
      </c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</row>
    <row r="20" spans="1:179" ht="14.1" customHeight="1" x14ac:dyDescent="0.3">
      <c r="A20" s="501" t="s">
        <v>106</v>
      </c>
      <c r="B20" s="502">
        <v>55.463000000000001</v>
      </c>
      <c r="C20" s="503"/>
      <c r="D20" s="502">
        <v>59.002000000000002</v>
      </c>
      <c r="E20" s="503"/>
      <c r="F20" s="508">
        <f>IF(B20&lt;&gt;0,D20/B20*100,"-")</f>
        <v>106.38083046355229</v>
      </c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</row>
    <row r="21" spans="1:179" ht="14.1" customHeight="1" thickBot="1" x14ac:dyDescent="0.35">
      <c r="A21" s="504" t="s">
        <v>107</v>
      </c>
      <c r="B21" s="505">
        <v>0</v>
      </c>
      <c r="C21" s="506"/>
      <c r="D21" s="505">
        <v>0</v>
      </c>
      <c r="E21" s="506"/>
      <c r="F21" s="539" t="str">
        <f>IF(B21&lt;&gt;0,D21/B21*100,"-")</f>
        <v>-</v>
      </c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</row>
  </sheetData>
  <mergeCells count="4">
    <mergeCell ref="A3:A4"/>
    <mergeCell ref="B3:C3"/>
    <mergeCell ref="D3:E3"/>
    <mergeCell ref="F3:F4"/>
  </mergeCells>
  <pageMargins left="0.7" right="0.7" top="0.75" bottom="0.75" header="0.3" footer="0.3"/>
  <pageSetup paperSize="9" scale="9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67">
    <tabColor theme="0" tint="-4.9989318521683403E-2"/>
  </sheetPr>
  <dimension ref="A2:G34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7.44140625" customWidth="1"/>
    <col min="2" max="6" width="9.109375" customWidth="1"/>
    <col min="8" max="14" width="5.77734375" customWidth="1"/>
    <col min="15" max="15" width="11.33203125" customWidth="1"/>
  </cols>
  <sheetData>
    <row r="2" spans="1:6" ht="14.4" customHeight="1" x14ac:dyDescent="0.3">
      <c r="A2" s="45" t="s">
        <v>266</v>
      </c>
      <c r="B2" s="45"/>
      <c r="C2" s="45"/>
      <c r="D2" s="45"/>
      <c r="E2" s="45"/>
      <c r="F2" s="48" t="s">
        <v>354</v>
      </c>
    </row>
    <row r="3" spans="1:6" ht="13.8" customHeight="1" x14ac:dyDescent="0.3">
      <c r="A3" s="71" t="s">
        <v>10</v>
      </c>
      <c r="B3" s="266" t="s">
        <v>623</v>
      </c>
      <c r="C3" s="267" t="s">
        <v>624</v>
      </c>
      <c r="D3" s="267" t="s">
        <v>580</v>
      </c>
      <c r="E3" s="267" t="s">
        <v>622</v>
      </c>
      <c r="F3" s="267" t="s">
        <v>619</v>
      </c>
    </row>
    <row r="4" spans="1:6" ht="14.1" customHeight="1" x14ac:dyDescent="0.3">
      <c r="A4" s="268" t="s">
        <v>99</v>
      </c>
      <c r="B4" s="269">
        <v>31.515999999999998</v>
      </c>
      <c r="C4" s="270">
        <v>38.56</v>
      </c>
      <c r="D4" s="270">
        <v>55.531999999999996</v>
      </c>
      <c r="E4" s="270">
        <v>55.463000000000001</v>
      </c>
      <c r="F4" s="270">
        <v>59.002000000000002</v>
      </c>
    </row>
    <row r="5" spans="1:6" ht="14.1" customHeight="1" x14ac:dyDescent="0.3">
      <c r="A5" s="52" t="s">
        <v>97</v>
      </c>
      <c r="B5" s="112">
        <v>8347.0660000000007</v>
      </c>
      <c r="C5" s="68">
        <v>9270.1909999999989</v>
      </c>
      <c r="D5" s="68">
        <v>9424.3459999999995</v>
      </c>
      <c r="E5" s="68">
        <v>9838.5979999999981</v>
      </c>
      <c r="F5" s="68">
        <v>10550.289999999999</v>
      </c>
    </row>
    <row r="6" spans="1:6" ht="14.1" customHeight="1" x14ac:dyDescent="0.3">
      <c r="A6" s="52" t="s">
        <v>98</v>
      </c>
      <c r="B6" s="112">
        <v>1040.9639999999999</v>
      </c>
      <c r="C6" s="68">
        <v>1133.3110000000001</v>
      </c>
      <c r="D6" s="68">
        <v>1197.498</v>
      </c>
      <c r="E6" s="68">
        <v>1295.7860000000001</v>
      </c>
      <c r="F6" s="68">
        <v>1449.856</v>
      </c>
    </row>
    <row r="7" spans="1:6" ht="14.1" customHeight="1" x14ac:dyDescent="0.3">
      <c r="A7" s="5" t="s">
        <v>143</v>
      </c>
      <c r="B7" s="271">
        <f>IFERROR(12*B4/LEFT(B3,2)/B$5,0)</f>
        <v>1.5102791807324873E-2</v>
      </c>
      <c r="C7" s="272">
        <f>IFERROR(12*C4/LEFT(C3,2)/C$5,0)</f>
        <v>1.66382763850281E-2</v>
      </c>
      <c r="D7" s="272">
        <f>IFERROR(12*D4/LEFT(D3,2)/D$5,0)</f>
        <v>2.3569593051868006E-2</v>
      </c>
      <c r="E7" s="272">
        <f>IFERROR(12*E4/LEFT(E3,2)/E$5,0)</f>
        <v>2.2549147754588616E-2</v>
      </c>
      <c r="F7" s="272">
        <f>IFERROR(12*F4/LEFT(F3,2)/F$5,0)</f>
        <v>2.2369811635509548E-2</v>
      </c>
    </row>
    <row r="8" spans="1:6" ht="14.1" customHeight="1" x14ac:dyDescent="0.3">
      <c r="A8" s="5" t="s">
        <v>144</v>
      </c>
      <c r="B8" s="271">
        <f>IFERROR(12*B4/LEFT(B3,2)/B$6,0)</f>
        <v>0.1211031313282688</v>
      </c>
      <c r="C8" s="272">
        <f>IFERROR(12*C4/LEFT(C3,2)/C$6,0)</f>
        <v>0.13609679955457946</v>
      </c>
      <c r="D8" s="272">
        <f>IFERROR(12*D4/LEFT(D3,2)/D$6,0)</f>
        <v>0.18549342044830139</v>
      </c>
      <c r="E8" s="272">
        <f>IFERROR(12*E4/LEFT(E3,2)/E$6,0)</f>
        <v>0.171210369613501</v>
      </c>
      <c r="F8" s="272">
        <f>IFERROR(12*F4/LEFT(F3,2)/F$6,0)</f>
        <v>0.16278030369912599</v>
      </c>
    </row>
    <row r="9" spans="1:6" ht="14.1" customHeight="1" x14ac:dyDescent="0.3">
      <c r="A9" s="52" t="s">
        <v>141</v>
      </c>
      <c r="B9" s="112">
        <v>57.927</v>
      </c>
      <c r="C9" s="68">
        <v>65.423000000000002</v>
      </c>
      <c r="D9" s="68">
        <v>80.992000000000004</v>
      </c>
      <c r="E9" s="68">
        <v>94.971000000000004</v>
      </c>
      <c r="F9" s="68">
        <v>95.531999999999996</v>
      </c>
    </row>
    <row r="10" spans="1:6" ht="14.1" customHeight="1" x14ac:dyDescent="0.3">
      <c r="A10" s="52" t="s">
        <v>439</v>
      </c>
      <c r="B10" s="112">
        <v>44.548999999999999</v>
      </c>
      <c r="C10" s="68">
        <v>49.783999999999999</v>
      </c>
      <c r="D10" s="68">
        <v>52.012</v>
      </c>
      <c r="E10" s="68">
        <v>58.539000000000001</v>
      </c>
      <c r="F10" s="68">
        <v>63.043999999999997</v>
      </c>
    </row>
    <row r="11" spans="1:6" ht="14.1" customHeight="1" x14ac:dyDescent="0.3">
      <c r="A11" s="52" t="s">
        <v>142</v>
      </c>
      <c r="B11" s="112">
        <v>9.3190000000000008</v>
      </c>
      <c r="C11" s="68">
        <v>12.032999999999999</v>
      </c>
      <c r="D11" s="68">
        <v>11.629</v>
      </c>
      <c r="E11" s="68">
        <v>13.016</v>
      </c>
      <c r="F11" s="68">
        <v>14.651</v>
      </c>
    </row>
    <row r="12" spans="1:6" ht="14.1" customHeight="1" x14ac:dyDescent="0.3">
      <c r="A12" s="52" t="s">
        <v>110</v>
      </c>
      <c r="B12" s="112">
        <v>57.320999999999998</v>
      </c>
      <c r="C12" s="68">
        <v>59.761000000000003</v>
      </c>
      <c r="D12" s="68">
        <v>60.737000000000002</v>
      </c>
      <c r="E12" s="68">
        <v>73.278999999999996</v>
      </c>
      <c r="F12" s="68">
        <v>73.370999999999995</v>
      </c>
    </row>
    <row r="13" spans="1:6" ht="27" customHeight="1" x14ac:dyDescent="0.3">
      <c r="A13" s="52" t="s">
        <v>111</v>
      </c>
      <c r="B13" s="112">
        <f>B9+B10-B11</f>
        <v>93.156999999999996</v>
      </c>
      <c r="C13" s="68">
        <f>C9+C10-C11</f>
        <v>103.17399999999999</v>
      </c>
      <c r="D13" s="68">
        <f t="shared" ref="D13:E13" si="0">D9+D10-D11</f>
        <v>121.37500000000001</v>
      </c>
      <c r="E13" s="68">
        <f t="shared" si="0"/>
        <v>140.494</v>
      </c>
      <c r="F13" s="68">
        <f>F9+F10-F11</f>
        <v>143.92499999999998</v>
      </c>
    </row>
    <row r="14" spans="1:6" ht="14.1" customHeight="1" x14ac:dyDescent="0.3">
      <c r="A14" s="5" t="s">
        <v>112</v>
      </c>
      <c r="B14" s="271">
        <f>IFERROR(12*B9/LEFT(B3,2)/B$5,0)</f>
        <v>2.7759215034360574E-2</v>
      </c>
      <c r="C14" s="272">
        <f>IFERROR(12*C9/LEFT(C3,2)/C$5,0)</f>
        <v>2.8229407570998271E-2</v>
      </c>
      <c r="D14" s="272">
        <f>IFERROR(12*D9/LEFT(D3,2)/D$5,0)</f>
        <v>3.4375647922943411E-2</v>
      </c>
      <c r="E14" s="272">
        <f>IFERROR(12*E9/LEFT(E3,2)/E$5,0)</f>
        <v>3.8611598929034409E-2</v>
      </c>
      <c r="F14" s="272">
        <f>IFERROR(12*F9/LEFT(F3,2)/F$5,0)</f>
        <v>3.6219667895384867E-2</v>
      </c>
    </row>
    <row r="15" spans="1:6" ht="14.1" customHeight="1" x14ac:dyDescent="0.3">
      <c r="A15" s="5" t="s">
        <v>113</v>
      </c>
      <c r="B15" s="271">
        <f>IFERROR(12*B10/LEFT(B3,2)/B$5,0)</f>
        <v>2.1348339644133636E-2</v>
      </c>
      <c r="C15" s="272">
        <f>IFERROR(12*C10/LEFT(C3,2)/C$5,0)</f>
        <v>2.1481326544404534E-2</v>
      </c>
      <c r="D15" s="272">
        <f>IFERROR(12*D10/LEFT(D3,2)/D$5,0)</f>
        <v>2.2075590178883501E-2</v>
      </c>
      <c r="E15" s="272">
        <f>IFERROR(12*E10/LEFT(E3,2)/E$5,0)</f>
        <v>2.3799732441553163E-2</v>
      </c>
      <c r="F15" s="272">
        <f>IFERROR(12*F10/LEFT(F3,2)/F$5,0)</f>
        <v>2.3902281359090605E-2</v>
      </c>
    </row>
    <row r="16" spans="1:6" ht="40.5" customHeight="1" thickBot="1" x14ac:dyDescent="0.35">
      <c r="A16" s="273" t="s">
        <v>114</v>
      </c>
      <c r="B16" s="274">
        <f>IF(B13&lt;&gt;0,B12/B13,0)</f>
        <v>0.6153160793069764</v>
      </c>
      <c r="C16" s="275">
        <f t="shared" ref="C16:E16" si="1">IF(C13&lt;&gt;0,C12/C13,0)</f>
        <v>0.57922538624071962</v>
      </c>
      <c r="D16" s="275">
        <f t="shared" si="1"/>
        <v>0.5004078269824922</v>
      </c>
      <c r="E16" s="275">
        <f t="shared" si="1"/>
        <v>0.52158099278260994</v>
      </c>
      <c r="F16" s="275">
        <f>IF(F13&lt;&gt;0,F12/F13,0)</f>
        <v>0.5097863470557582</v>
      </c>
    </row>
    <row r="17" spans="1:7" x14ac:dyDescent="0.3">
      <c r="A17" s="4"/>
      <c r="B17" s="4"/>
      <c r="C17" s="4"/>
      <c r="D17" s="4"/>
      <c r="E17" s="4"/>
      <c r="F17" s="4"/>
    </row>
    <row r="18" spans="1:7" x14ac:dyDescent="0.3">
      <c r="A18" t="s">
        <v>109</v>
      </c>
      <c r="C18" s="4"/>
      <c r="D18" s="4"/>
      <c r="E18" s="4"/>
      <c r="F18" s="4"/>
      <c r="G18" s="4"/>
    </row>
    <row r="21" spans="1:7" ht="14.1" customHeight="1" x14ac:dyDescent="0.3"/>
    <row r="22" spans="1:7" ht="14.1" customHeight="1" x14ac:dyDescent="0.3"/>
    <row r="23" spans="1:7" ht="14.1" customHeight="1" x14ac:dyDescent="0.3"/>
    <row r="24" spans="1:7" ht="14.1" customHeight="1" x14ac:dyDescent="0.3"/>
    <row r="25" spans="1:7" ht="14.1" customHeight="1" x14ac:dyDescent="0.3"/>
    <row r="26" spans="1:7" ht="14.1" customHeight="1" x14ac:dyDescent="0.3"/>
    <row r="27" spans="1:7" ht="14.1" customHeight="1" x14ac:dyDescent="0.3"/>
    <row r="28" spans="1:7" ht="14.1" customHeight="1" x14ac:dyDescent="0.3"/>
    <row r="29" spans="1:7" ht="14.1" customHeight="1" x14ac:dyDescent="0.3"/>
    <row r="30" spans="1:7" ht="27" customHeight="1" x14ac:dyDescent="0.3"/>
    <row r="31" spans="1:7" ht="14.1" customHeight="1" x14ac:dyDescent="0.3"/>
    <row r="32" spans="1:7" ht="14.1" customHeight="1" x14ac:dyDescent="0.3"/>
    <row r="33" ht="40.5" customHeight="1" x14ac:dyDescent="0.3"/>
    <row r="34" ht="45" customHeight="1" x14ac:dyDescent="0.3"/>
  </sheetData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112"/>
  <dimension ref="A1:FU53"/>
  <sheetViews>
    <sheetView showGridLines="0" topLeftCell="A3" zoomScaleNormal="100" workbookViewId="0">
      <selection activeCell="A4" sqref="A4"/>
    </sheetView>
  </sheetViews>
  <sheetFormatPr defaultColWidth="9.109375" defaultRowHeight="14.4" x14ac:dyDescent="0.3"/>
  <cols>
    <col min="1" max="1" width="26.88671875" style="34" customWidth="1"/>
    <col min="2" max="2" width="7.5546875" style="25" customWidth="1"/>
    <col min="3" max="3" width="6.33203125" style="25" customWidth="1"/>
    <col min="4" max="4" width="7.5546875" style="25" bestFit="1" customWidth="1"/>
    <col min="5" max="5" width="7.5546875" style="25" customWidth="1"/>
    <col min="6" max="6" width="6.33203125" style="25" customWidth="1"/>
    <col min="7" max="7" width="7.5546875" style="25" bestFit="1" customWidth="1"/>
    <col min="8" max="8" width="7.5546875" style="25" customWidth="1"/>
    <col min="9" max="9" width="6.33203125" style="25" customWidth="1"/>
    <col min="10" max="10" width="7.5546875" style="25" bestFit="1" customWidth="1"/>
    <col min="11" max="11" width="9.109375" style="25"/>
    <col min="12" max="14" width="5.77734375" style="25" customWidth="1"/>
    <col min="15" max="16384" width="9.109375" style="25"/>
  </cols>
  <sheetData>
    <row r="1" spans="1:177" ht="14.4" hidden="1" customHeight="1" x14ac:dyDescent="0.3">
      <c r="A1" s="87"/>
      <c r="B1" s="22"/>
      <c r="C1" s="22"/>
      <c r="D1" s="22"/>
      <c r="E1" s="22"/>
      <c r="F1" s="22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</row>
    <row r="2" spans="1:177" ht="14.4" hidden="1" customHeight="1" x14ac:dyDescent="0.3">
      <c r="A2" s="87"/>
      <c r="B2" s="22"/>
      <c r="C2" s="22"/>
      <c r="D2" s="22"/>
      <c r="E2" s="22"/>
      <c r="F2" s="2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</row>
    <row r="3" spans="1:177" x14ac:dyDescent="0.3"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</row>
    <row r="4" spans="1:177" x14ac:dyDescent="0.3">
      <c r="A4" s="155" t="s">
        <v>267</v>
      </c>
      <c r="B4" s="155"/>
      <c r="C4" s="155"/>
      <c r="D4" s="155"/>
      <c r="E4" s="155"/>
      <c r="F4" s="155"/>
      <c r="G4" s="155"/>
      <c r="H4" s="155"/>
      <c r="I4" s="155"/>
      <c r="J4" s="48" t="s">
        <v>354</v>
      </c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</row>
    <row r="5" spans="1:177" ht="14.4" customHeight="1" x14ac:dyDescent="0.3">
      <c r="A5" s="783" t="s">
        <v>377</v>
      </c>
      <c r="B5" s="780" t="s">
        <v>610</v>
      </c>
      <c r="C5" s="781"/>
      <c r="D5" s="782"/>
      <c r="E5" s="780" t="s">
        <v>617</v>
      </c>
      <c r="F5" s="781"/>
      <c r="G5" s="782"/>
      <c r="H5" s="780" t="s">
        <v>619</v>
      </c>
      <c r="I5" s="781"/>
      <c r="J5" s="781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</row>
    <row r="6" spans="1:177" ht="24" x14ac:dyDescent="0.3">
      <c r="A6" s="784"/>
      <c r="B6" s="580" t="s">
        <v>2</v>
      </c>
      <c r="C6" s="581" t="s">
        <v>152</v>
      </c>
      <c r="D6" s="582" t="s">
        <v>182</v>
      </c>
      <c r="E6" s="580" t="s">
        <v>2</v>
      </c>
      <c r="F6" s="581" t="s">
        <v>152</v>
      </c>
      <c r="G6" s="582" t="s">
        <v>182</v>
      </c>
      <c r="H6" s="583" t="s">
        <v>2</v>
      </c>
      <c r="I6" s="581" t="s">
        <v>152</v>
      </c>
      <c r="J6" s="581" t="s">
        <v>182</v>
      </c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</row>
    <row r="7" spans="1:177" x14ac:dyDescent="0.3">
      <c r="A7" s="584" t="s">
        <v>95</v>
      </c>
      <c r="B7" s="585">
        <f>B8+B17</f>
        <v>11568.786000000002</v>
      </c>
      <c r="C7" s="586">
        <f>C8+C17</f>
        <v>356.53399999999999</v>
      </c>
      <c r="D7" s="587">
        <f>IFERROR(C7*100/B7,0)</f>
        <v>3.0818618306190464</v>
      </c>
      <c r="E7" s="585">
        <f>E8+E17</f>
        <v>12582.934999999999</v>
      </c>
      <c r="F7" s="586">
        <f>F8+F17</f>
        <v>366.43400000000003</v>
      </c>
      <c r="G7" s="587">
        <f>IFERROR(F7*100/E7,0)</f>
        <v>2.9121504641007845</v>
      </c>
      <c r="H7" s="586">
        <f>H8+H17</f>
        <v>12728.519000000002</v>
      </c>
      <c r="I7" s="586">
        <f>I8+I17</f>
        <v>369.54699999999997</v>
      </c>
      <c r="J7" s="588">
        <f>IFERROR(I7*100/H7,0)</f>
        <v>2.9032992762158734</v>
      </c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</row>
    <row r="8" spans="1:177" x14ac:dyDescent="0.3">
      <c r="A8" s="589" t="s">
        <v>183</v>
      </c>
      <c r="B8" s="516">
        <f>+B9+B14+B15+B16</f>
        <v>10175.613000000001</v>
      </c>
      <c r="C8" s="517">
        <f>SUM(C10:C16)</f>
        <v>339.57400000000001</v>
      </c>
      <c r="D8" s="519">
        <f>IFERROR(C8*100/B8,0)</f>
        <v>3.3371355612679059</v>
      </c>
      <c r="E8" s="516">
        <f>+E9+E14+E15+E16</f>
        <v>11006.373</v>
      </c>
      <c r="F8" s="517">
        <f>SUM(F10:F16)</f>
        <v>349.52500000000003</v>
      </c>
      <c r="G8" s="519">
        <f>IFERROR(F8*100/E8,0)</f>
        <v>3.1756601379945963</v>
      </c>
      <c r="H8" s="590">
        <f>+H9+H14+H15+H16</f>
        <v>11170.846000000001</v>
      </c>
      <c r="I8" s="517">
        <f>SUM(I10:I16)</f>
        <v>354.57</v>
      </c>
      <c r="J8" s="518">
        <f>IFERROR(I8*100/H8,0)</f>
        <v>3.1740657780082184</v>
      </c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</row>
    <row r="9" spans="1:177" ht="24" x14ac:dyDescent="0.3">
      <c r="A9" s="591" t="s">
        <v>184</v>
      </c>
      <c r="B9" s="520">
        <f>+B10+B11+B12+B13</f>
        <v>9102.848</v>
      </c>
      <c r="C9" s="521">
        <f>+C10+C11+C12+C13</f>
        <v>330.25600000000003</v>
      </c>
      <c r="D9" s="523">
        <f>IFERROR(C9*100/B9,0)</f>
        <v>3.6280513527195013</v>
      </c>
      <c r="E9" s="520">
        <f>+E10+E11+E12+E13</f>
        <v>10092.853000000001</v>
      </c>
      <c r="F9" s="521">
        <f>+F10+F11+F12+F13</f>
        <v>338.88300000000004</v>
      </c>
      <c r="G9" s="523">
        <f>IFERROR(F9*100/E9,0)</f>
        <v>3.3576531829008109</v>
      </c>
      <c r="H9" s="592">
        <f>+H10+H11+H12+H13</f>
        <v>10277.839</v>
      </c>
      <c r="I9" s="521">
        <f>+I10+I11+I12+I13</f>
        <v>343.96999999999997</v>
      </c>
      <c r="J9" s="522">
        <f>IFERROR(I9*100/H9,0)</f>
        <v>3.346715199566757</v>
      </c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</row>
    <row r="10" spans="1:177" ht="24.75" customHeight="1" x14ac:dyDescent="0.3">
      <c r="A10" s="593" t="s">
        <v>313</v>
      </c>
      <c r="B10" s="594">
        <v>2588.8939999999998</v>
      </c>
      <c r="C10" s="595">
        <v>6.5439999999999996</v>
      </c>
      <c r="D10" s="596">
        <f>IFERROR(C10*100/B10,0)</f>
        <v>0.25277203315392599</v>
      </c>
      <c r="E10" s="594">
        <v>2807.5509999999999</v>
      </c>
      <c r="F10" s="595">
        <v>4.665</v>
      </c>
      <c r="G10" s="596">
        <f>IFERROR(F10*100/E10,0)</f>
        <v>0.1661590475115145</v>
      </c>
      <c r="H10" s="597">
        <v>2921.154</v>
      </c>
      <c r="I10" s="595">
        <v>4.1849999999999996</v>
      </c>
      <c r="J10" s="598">
        <f>IFERROR(I10*100/H10,0)</f>
        <v>0.1432652985772061</v>
      </c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</row>
    <row r="11" spans="1:177" x14ac:dyDescent="0.3">
      <c r="A11" s="593" t="s">
        <v>185</v>
      </c>
      <c r="B11" s="594">
        <v>426.61700000000002</v>
      </c>
      <c r="C11" s="595">
        <v>2.7650000000000001</v>
      </c>
      <c r="D11" s="596">
        <f t="shared" ref="D11:D12" si="0">IFERROR(C11*100/B11,0)</f>
        <v>0.64812232048886942</v>
      </c>
      <c r="E11" s="594">
        <v>554.27099999999996</v>
      </c>
      <c r="F11" s="595">
        <v>0.76300000000000001</v>
      </c>
      <c r="G11" s="596">
        <f t="shared" ref="G11:G13" si="1">IFERROR(F11*100/E11,0)</f>
        <v>0.13765829350624514</v>
      </c>
      <c r="H11" s="597">
        <v>616.43499999999995</v>
      </c>
      <c r="I11" s="595">
        <v>0.9</v>
      </c>
      <c r="J11" s="598">
        <f t="shared" ref="J11:J13" si="2">IFERROR(I11*100/H11,0)</f>
        <v>0.14600079489321666</v>
      </c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</row>
    <row r="12" spans="1:177" x14ac:dyDescent="0.3">
      <c r="A12" s="593" t="s">
        <v>186</v>
      </c>
      <c r="B12" s="594">
        <v>6056.5429999999997</v>
      </c>
      <c r="C12" s="595">
        <v>314.91500000000002</v>
      </c>
      <c r="D12" s="596">
        <f t="shared" si="0"/>
        <v>5.1995833266601101</v>
      </c>
      <c r="E12" s="594">
        <v>6695.1629999999996</v>
      </c>
      <c r="F12" s="595">
        <v>327.17200000000003</v>
      </c>
      <c r="G12" s="596">
        <f t="shared" si="1"/>
        <v>4.8866920790427368</v>
      </c>
      <c r="H12" s="597">
        <v>6700.7529999999997</v>
      </c>
      <c r="I12" s="595">
        <v>332.14400000000001</v>
      </c>
      <c r="J12" s="598">
        <f t="shared" si="2"/>
        <v>4.956816047390495</v>
      </c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</row>
    <row r="13" spans="1:177" x14ac:dyDescent="0.3">
      <c r="A13" s="593" t="s">
        <v>187</v>
      </c>
      <c r="B13" s="594">
        <v>30.794</v>
      </c>
      <c r="C13" s="595">
        <v>6.032</v>
      </c>
      <c r="D13" s="596">
        <f>IFERROR(C13*100/B13,0)</f>
        <v>19.588231473663701</v>
      </c>
      <c r="E13" s="594">
        <v>35.868000000000002</v>
      </c>
      <c r="F13" s="595">
        <v>6.2830000000000004</v>
      </c>
      <c r="G13" s="596">
        <f t="shared" si="1"/>
        <v>17.517006802721088</v>
      </c>
      <c r="H13" s="597">
        <v>39.497</v>
      </c>
      <c r="I13" s="595">
        <v>6.7409999999999997</v>
      </c>
      <c r="J13" s="598">
        <f t="shared" si="2"/>
        <v>17.067119021697849</v>
      </c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</row>
    <row r="14" spans="1:177" s="115" customFormat="1" ht="24" x14ac:dyDescent="0.3">
      <c r="A14" s="591" t="s">
        <v>188</v>
      </c>
      <c r="B14" s="520">
        <v>15.218</v>
      </c>
      <c r="C14" s="521">
        <v>0</v>
      </c>
      <c r="D14" s="523"/>
      <c r="E14" s="520">
        <v>19.768000000000001</v>
      </c>
      <c r="F14" s="521">
        <v>0</v>
      </c>
      <c r="G14" s="523"/>
      <c r="H14" s="592">
        <v>20.018000000000001</v>
      </c>
      <c r="I14" s="521">
        <v>0</v>
      </c>
      <c r="J14" s="522"/>
      <c r="K14" s="116"/>
      <c r="L14" s="116"/>
      <c r="M14" s="116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</row>
    <row r="15" spans="1:177" s="115" customFormat="1" ht="36" x14ac:dyDescent="0.3">
      <c r="A15" s="591" t="s">
        <v>420</v>
      </c>
      <c r="B15" s="520">
        <v>967.44899999999996</v>
      </c>
      <c r="C15" s="521">
        <v>0</v>
      </c>
      <c r="D15" s="523"/>
      <c r="E15" s="520">
        <v>773.83600000000001</v>
      </c>
      <c r="F15" s="521">
        <v>0</v>
      </c>
      <c r="G15" s="523"/>
      <c r="H15" s="592">
        <v>759.50300000000004</v>
      </c>
      <c r="I15" s="521">
        <v>0</v>
      </c>
      <c r="J15" s="522"/>
      <c r="K15" s="25"/>
      <c r="L15" s="25"/>
      <c r="M15" s="2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</row>
    <row r="16" spans="1:177" s="115" customFormat="1" x14ac:dyDescent="0.3">
      <c r="A16" s="599" t="s">
        <v>189</v>
      </c>
      <c r="B16" s="600">
        <v>90.097999999999999</v>
      </c>
      <c r="C16" s="601">
        <v>9.3179999999999996</v>
      </c>
      <c r="D16" s="602">
        <f>IFERROR(C16*100/B16,0)</f>
        <v>10.342071966081377</v>
      </c>
      <c r="E16" s="600">
        <v>119.916</v>
      </c>
      <c r="F16" s="601">
        <v>10.641999999999999</v>
      </c>
      <c r="G16" s="602">
        <f>IFERROR(F16*100/E16,0)</f>
        <v>8.8745455151939705</v>
      </c>
      <c r="H16" s="603">
        <v>113.486</v>
      </c>
      <c r="I16" s="601">
        <v>10.6</v>
      </c>
      <c r="J16" s="604">
        <f>IFERROR(I16*100/H16,0)</f>
        <v>9.3403591632448055</v>
      </c>
      <c r="K16" s="25"/>
      <c r="L16" s="25"/>
      <c r="M16" s="25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</row>
    <row r="17" spans="1:177" x14ac:dyDescent="0.3">
      <c r="A17" s="605" t="s">
        <v>190</v>
      </c>
      <c r="B17" s="611">
        <f>SUM(B18:B21)</f>
        <v>1393.173</v>
      </c>
      <c r="C17" s="612">
        <f>SUM(C18:C21)</f>
        <v>16.96</v>
      </c>
      <c r="D17" s="606">
        <f>IFERROR(C17*100/B17,0)</f>
        <v>1.2173649647244096</v>
      </c>
      <c r="E17" s="611">
        <f t="shared" ref="E17:I17" si="3">SUM(E18:E21)</f>
        <v>1576.5619999999999</v>
      </c>
      <c r="F17" s="612">
        <f t="shared" si="3"/>
        <v>16.908999999999999</v>
      </c>
      <c r="G17" s="606">
        <f>IFERROR(F17*100/E17,0)</f>
        <v>1.0725236305327668</v>
      </c>
      <c r="H17" s="613">
        <f t="shared" si="3"/>
        <v>1557.6730000000002</v>
      </c>
      <c r="I17" s="612">
        <f t="shared" si="3"/>
        <v>14.977</v>
      </c>
      <c r="J17" s="607">
        <f>IFERROR(I17*100/H17,0)</f>
        <v>0.96149833758433245</v>
      </c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</row>
    <row r="18" spans="1:177" x14ac:dyDescent="0.3">
      <c r="A18" s="591" t="s">
        <v>191</v>
      </c>
      <c r="B18" s="520">
        <v>731.96500000000003</v>
      </c>
      <c r="C18" s="521">
        <v>9.8960000000000008</v>
      </c>
      <c r="D18" s="523">
        <f>IFERROR(C18*100/B18,0)</f>
        <v>1.3519772120251652</v>
      </c>
      <c r="E18" s="520">
        <v>771.49699999999996</v>
      </c>
      <c r="F18" s="521">
        <v>9.1159999999999997</v>
      </c>
      <c r="G18" s="523">
        <f>IFERROR(F18*100/E18,0)</f>
        <v>1.1815988915057349</v>
      </c>
      <c r="H18" s="614">
        <v>790.298</v>
      </c>
      <c r="I18" s="521">
        <v>7.359</v>
      </c>
      <c r="J18" s="522">
        <f>IFERROR(I18*100/H18,0)</f>
        <v>0.93116773672715858</v>
      </c>
      <c r="K18" s="31"/>
      <c r="L18" s="31"/>
      <c r="M18" s="31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</row>
    <row r="19" spans="1:177" ht="15" customHeight="1" x14ac:dyDescent="0.3">
      <c r="A19" s="591" t="s">
        <v>192</v>
      </c>
      <c r="B19" s="520">
        <v>0.875</v>
      </c>
      <c r="C19" s="521">
        <v>6.0000000000000001E-3</v>
      </c>
      <c r="D19" s="523">
        <f t="shared" ref="D19:D21" si="4">IFERROR(C19*100/B19,0)</f>
        <v>0.68571428571428572</v>
      </c>
      <c r="E19" s="520">
        <v>26.074999999999999</v>
      </c>
      <c r="F19" s="521">
        <v>0.50800000000000001</v>
      </c>
      <c r="G19" s="523">
        <f t="shared" ref="G19:G21" si="5">IFERROR(F19*100/E19,0)</f>
        <v>1.9482262703739213</v>
      </c>
      <c r="H19" s="614">
        <v>25.952000000000002</v>
      </c>
      <c r="I19" s="521">
        <v>0.50800000000000001</v>
      </c>
      <c r="J19" s="522">
        <f t="shared" ref="J19:J21" si="6">IFERROR(I19*100/H19,0)</f>
        <v>1.9574599260172625</v>
      </c>
      <c r="K19" s="31"/>
      <c r="L19" s="31"/>
      <c r="M19" s="31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</row>
    <row r="20" spans="1:177" ht="24" x14ac:dyDescent="0.3">
      <c r="A20" s="608" t="s">
        <v>193</v>
      </c>
      <c r="B20" s="615">
        <v>660.00400000000002</v>
      </c>
      <c r="C20" s="529">
        <v>7.056</v>
      </c>
      <c r="D20" s="523">
        <f t="shared" si="4"/>
        <v>1.0690844297913347</v>
      </c>
      <c r="E20" s="615">
        <v>778.70899999999995</v>
      </c>
      <c r="F20" s="529">
        <v>7.2839999999999998</v>
      </c>
      <c r="G20" s="523">
        <f t="shared" si="5"/>
        <v>0.93539435142010685</v>
      </c>
      <c r="H20" s="616">
        <v>741.11</v>
      </c>
      <c r="I20" s="529">
        <v>7.1079999999999997</v>
      </c>
      <c r="J20" s="522">
        <f t="shared" si="6"/>
        <v>0.95910188770897697</v>
      </c>
      <c r="K20" s="31"/>
      <c r="L20" s="31"/>
      <c r="M20" s="31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</row>
    <row r="21" spans="1:177" ht="24.6" thickBot="1" x14ac:dyDescent="0.35">
      <c r="A21" s="609" t="s">
        <v>194</v>
      </c>
      <c r="B21" s="534">
        <v>0.32900000000000001</v>
      </c>
      <c r="C21" s="535">
        <v>2E-3</v>
      </c>
      <c r="D21" s="523">
        <f t="shared" si="4"/>
        <v>0.60790273556231</v>
      </c>
      <c r="E21" s="534">
        <v>0.28100000000000003</v>
      </c>
      <c r="F21" s="535">
        <v>1E-3</v>
      </c>
      <c r="G21" s="523">
        <f t="shared" si="5"/>
        <v>0.35587188612099641</v>
      </c>
      <c r="H21" s="617">
        <v>0.313</v>
      </c>
      <c r="I21" s="535">
        <v>2E-3</v>
      </c>
      <c r="J21" s="610">
        <f t="shared" si="6"/>
        <v>0.63897763578274769</v>
      </c>
      <c r="K21" s="31"/>
      <c r="L21" s="31"/>
      <c r="M21" s="3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</row>
    <row r="22" spans="1:177" ht="19.5" customHeight="1" x14ac:dyDescent="0.3">
      <c r="A22" s="779" t="s">
        <v>421</v>
      </c>
      <c r="B22" s="779"/>
      <c r="C22" s="779"/>
      <c r="D22" s="779"/>
      <c r="E22" s="779"/>
      <c r="F22" s="779"/>
      <c r="G22" s="779"/>
      <c r="H22" s="779"/>
      <c r="I22" s="779"/>
      <c r="J22" s="779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</row>
    <row r="24" spans="1:177" x14ac:dyDescent="0.3">
      <c r="N24" s="29"/>
    </row>
    <row r="25" spans="1:177" x14ac:dyDescent="0.3">
      <c r="N25" s="26"/>
    </row>
    <row r="26" spans="1:177" x14ac:dyDescent="0.3">
      <c r="N26" s="26"/>
    </row>
    <row r="27" spans="1:177" x14ac:dyDescent="0.3">
      <c r="N27" s="26"/>
    </row>
    <row r="28" spans="1:177" x14ac:dyDescent="0.3">
      <c r="N28" s="26"/>
    </row>
    <row r="29" spans="1:177" x14ac:dyDescent="0.3">
      <c r="N29" s="26"/>
    </row>
    <row r="30" spans="1:177" x14ac:dyDescent="0.3">
      <c r="N30" s="26"/>
    </row>
    <row r="31" spans="1:177" x14ac:dyDescent="0.3">
      <c r="N31" s="26"/>
    </row>
    <row r="32" spans="1:177" x14ac:dyDescent="0.3">
      <c r="N32" s="26"/>
    </row>
    <row r="33" spans="14:14" x14ac:dyDescent="0.3">
      <c r="N33" s="26"/>
    </row>
    <row r="34" spans="14:14" x14ac:dyDescent="0.3">
      <c r="N34" s="26"/>
    </row>
    <row r="35" spans="14:14" x14ac:dyDescent="0.3">
      <c r="N35" s="26"/>
    </row>
    <row r="36" spans="14:14" x14ac:dyDescent="0.3">
      <c r="N36" s="26"/>
    </row>
    <row r="37" spans="14:14" x14ac:dyDescent="0.3">
      <c r="N37" s="26"/>
    </row>
    <row r="38" spans="14:14" x14ac:dyDescent="0.3">
      <c r="N38" s="26"/>
    </row>
    <row r="39" spans="14:14" x14ac:dyDescent="0.3">
      <c r="N39" s="26"/>
    </row>
    <row r="40" spans="14:14" x14ac:dyDescent="0.3">
      <c r="N40" s="26"/>
    </row>
    <row r="41" spans="14:14" x14ac:dyDescent="0.3">
      <c r="N41" s="26"/>
    </row>
    <row r="42" spans="14:14" x14ac:dyDescent="0.3">
      <c r="N42" s="26"/>
    </row>
    <row r="43" spans="14:14" x14ac:dyDescent="0.3">
      <c r="N43" s="26"/>
    </row>
    <row r="44" spans="14:14" x14ac:dyDescent="0.3">
      <c r="N44" s="26"/>
    </row>
    <row r="45" spans="14:14" x14ac:dyDescent="0.3">
      <c r="N45" s="26"/>
    </row>
    <row r="46" spans="14:14" x14ac:dyDescent="0.3">
      <c r="N46" s="26"/>
    </row>
    <row r="47" spans="14:14" x14ac:dyDescent="0.3">
      <c r="N47" s="26"/>
    </row>
    <row r="48" spans="14:14" x14ac:dyDescent="0.3">
      <c r="N48" s="26"/>
    </row>
    <row r="49" spans="14:14" x14ac:dyDescent="0.3">
      <c r="N49" s="26"/>
    </row>
    <row r="50" spans="14:14" x14ac:dyDescent="0.3">
      <c r="N50" s="26"/>
    </row>
    <row r="51" spans="14:14" x14ac:dyDescent="0.3">
      <c r="N51" s="26"/>
    </row>
    <row r="52" spans="14:14" x14ac:dyDescent="0.3">
      <c r="N52" s="26"/>
    </row>
    <row r="53" spans="14:14" x14ac:dyDescent="0.3">
      <c r="N53" s="26"/>
    </row>
  </sheetData>
  <mergeCells count="5">
    <mergeCell ref="A22:J22"/>
    <mergeCell ref="B5:D5"/>
    <mergeCell ref="E5:G5"/>
    <mergeCell ref="H5:J5"/>
    <mergeCell ref="A5:A6"/>
  </mergeCells>
  <pageMargins left="0.7" right="0.7" top="0.75" bottom="0.75" header="0.3" footer="0.3"/>
  <pageSetup paperSize="9" scale="87" orientation="portrait" r:id="rId1"/>
  <ignoredErrors>
    <ignoredError sqref="E7:F8 G7:G9 D7:D9 D17 G17" formula="1"/>
    <ignoredError sqref="H7:I8 E9:F9 H9:I9 H17:I17 E17:F17" evalError="1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116"/>
  <dimension ref="A1:FU21"/>
  <sheetViews>
    <sheetView showGridLines="0" topLeftCell="A3" zoomScaleNormal="100" workbookViewId="0">
      <selection activeCell="A4" sqref="A4"/>
    </sheetView>
  </sheetViews>
  <sheetFormatPr defaultColWidth="9.109375" defaultRowHeight="14.4" x14ac:dyDescent="0.3"/>
  <cols>
    <col min="1" max="1" width="20.5546875" style="34" customWidth="1"/>
    <col min="2" max="2" width="7.6640625" style="25" customWidth="1"/>
    <col min="3" max="3" width="7.44140625" style="25" customWidth="1"/>
    <col min="4" max="4" width="7.109375" style="25" customWidth="1"/>
    <col min="5" max="5" width="7.6640625" style="25" customWidth="1"/>
    <col min="6" max="6" width="7.44140625" style="25" customWidth="1"/>
    <col min="7" max="7" width="7.109375" style="25" customWidth="1"/>
    <col min="8" max="8" width="7.6640625" style="25" customWidth="1"/>
    <col min="9" max="9" width="7.44140625" style="25" customWidth="1"/>
    <col min="10" max="10" width="7.33203125" style="25" customWidth="1"/>
    <col min="11" max="11" width="9.109375" style="25"/>
    <col min="12" max="14" width="5.77734375" style="25" customWidth="1"/>
    <col min="15" max="16384" width="9.109375" style="25"/>
  </cols>
  <sheetData>
    <row r="1" spans="1:177" ht="14.4" hidden="1" customHeight="1" thickBot="1" x14ac:dyDescent="0.35">
      <c r="A1" s="87"/>
      <c r="B1" s="22"/>
      <c r="C1" s="22"/>
      <c r="D1" s="22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</row>
    <row r="2" spans="1:177" ht="14.4" hidden="1" customHeight="1" x14ac:dyDescent="0.3">
      <c r="A2" s="87"/>
      <c r="B2" s="22"/>
      <c r="C2" s="22"/>
      <c r="D2" s="2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</row>
    <row r="3" spans="1:177" x14ac:dyDescent="0.3"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</row>
    <row r="4" spans="1:177" x14ac:dyDescent="0.3">
      <c r="A4" s="155" t="s">
        <v>268</v>
      </c>
      <c r="B4" s="155"/>
      <c r="C4" s="155"/>
      <c r="D4" s="155"/>
      <c r="E4" s="155"/>
      <c r="F4" s="155"/>
      <c r="G4" s="155"/>
      <c r="H4" s="155"/>
      <c r="I4" s="155"/>
      <c r="J4" s="48" t="s">
        <v>354</v>
      </c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</row>
    <row r="5" spans="1:177" ht="14.4" customHeight="1" x14ac:dyDescent="0.3">
      <c r="A5" s="791" t="s">
        <v>377</v>
      </c>
      <c r="B5" s="787" t="s">
        <v>610</v>
      </c>
      <c r="C5" s="788"/>
      <c r="D5" s="788"/>
      <c r="E5" s="787" t="s">
        <v>617</v>
      </c>
      <c r="F5" s="788"/>
      <c r="G5" s="789"/>
      <c r="H5" s="790" t="s">
        <v>619</v>
      </c>
      <c r="I5" s="788"/>
      <c r="J5" s="788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</row>
    <row r="6" spans="1:177" ht="24" x14ac:dyDescent="0.3">
      <c r="A6" s="792"/>
      <c r="B6" s="580" t="s">
        <v>2</v>
      </c>
      <c r="C6" s="581" t="s">
        <v>152</v>
      </c>
      <c r="D6" s="581" t="s">
        <v>182</v>
      </c>
      <c r="E6" s="580" t="s">
        <v>2</v>
      </c>
      <c r="F6" s="581" t="s">
        <v>152</v>
      </c>
      <c r="G6" s="582" t="s">
        <v>182</v>
      </c>
      <c r="H6" s="583" t="s">
        <v>2</v>
      </c>
      <c r="I6" s="581" t="s">
        <v>152</v>
      </c>
      <c r="J6" s="581" t="s">
        <v>182</v>
      </c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</row>
    <row r="7" spans="1:177" x14ac:dyDescent="0.3">
      <c r="A7" s="515" t="s">
        <v>95</v>
      </c>
      <c r="B7" s="516">
        <f>+B11+B15</f>
        <v>11568.786</v>
      </c>
      <c r="C7" s="517">
        <f>C11+C15</f>
        <v>356.53199999999998</v>
      </c>
      <c r="D7" s="518">
        <f t="shared" ref="D7:D18" si="0">IFERROR(C7*100/B7,0)</f>
        <v>3.0818445427203853</v>
      </c>
      <c r="E7" s="516">
        <f>E11+E15</f>
        <v>12582.933999999999</v>
      </c>
      <c r="F7" s="517">
        <f>F11+F15</f>
        <v>366.43399999999997</v>
      </c>
      <c r="G7" s="519">
        <f t="shared" ref="G7:G18" si="1">IFERROR(F7*100/E7,0)</f>
        <v>2.9121506955373047</v>
      </c>
      <c r="H7" s="517">
        <f>H11+H15</f>
        <v>12728.517</v>
      </c>
      <c r="I7" s="517">
        <f>I11+I15</f>
        <v>369.54699999999997</v>
      </c>
      <c r="J7" s="518">
        <f t="shared" ref="J7:J18" si="2">IFERROR(I7*100/H7,0)</f>
        <v>2.9032997324040184</v>
      </c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</row>
    <row r="8" spans="1:177" ht="15" customHeight="1" x14ac:dyDescent="0.3">
      <c r="A8" s="485" t="s">
        <v>195</v>
      </c>
      <c r="B8" s="520">
        <f t="shared" ref="B8:B10" si="3">+B12+B16</f>
        <v>10501.447</v>
      </c>
      <c r="C8" s="521">
        <f t="shared" ref="C8:C10" si="4">C12+C16</f>
        <v>84.566000000000003</v>
      </c>
      <c r="D8" s="522">
        <f t="shared" si="0"/>
        <v>0.80527950100590906</v>
      </c>
      <c r="E8" s="520">
        <f t="shared" ref="E8:E10" si="5">+E12+E16</f>
        <v>11473.602999999999</v>
      </c>
      <c r="F8" s="521">
        <f t="shared" ref="F8:F10" si="6">F12+F16</f>
        <v>85.507000000000005</v>
      </c>
      <c r="G8" s="523">
        <f t="shared" si="1"/>
        <v>0.74524977027704387</v>
      </c>
      <c r="H8" s="521">
        <f t="shared" ref="H8:H10" si="7">+H12+H16</f>
        <v>11666.659</v>
      </c>
      <c r="I8" s="521">
        <f t="shared" ref="I8:I10" si="8">I12+I16</f>
        <v>86.869</v>
      </c>
      <c r="J8" s="522">
        <f t="shared" si="2"/>
        <v>0.74459191787468892</v>
      </c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</row>
    <row r="9" spans="1:177" ht="15" customHeight="1" x14ac:dyDescent="0.3">
      <c r="A9" s="485" t="s">
        <v>196</v>
      </c>
      <c r="B9" s="520">
        <f t="shared" si="3"/>
        <v>826.29399999999998</v>
      </c>
      <c r="C9" s="521">
        <f t="shared" si="4"/>
        <v>88.549000000000007</v>
      </c>
      <c r="D9" s="522">
        <f t="shared" si="0"/>
        <v>10.716403604528173</v>
      </c>
      <c r="E9" s="520">
        <f t="shared" si="5"/>
        <v>832.95100000000002</v>
      </c>
      <c r="F9" s="521">
        <f t="shared" si="6"/>
        <v>84.361000000000004</v>
      </c>
      <c r="G9" s="523">
        <f t="shared" si="1"/>
        <v>10.127966711127065</v>
      </c>
      <c r="H9" s="521">
        <f t="shared" si="7"/>
        <v>793.678</v>
      </c>
      <c r="I9" s="521">
        <f t="shared" si="8"/>
        <v>83.84899999999999</v>
      </c>
      <c r="J9" s="522">
        <f t="shared" si="2"/>
        <v>10.564611845105949</v>
      </c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</row>
    <row r="10" spans="1:177" ht="15" customHeight="1" x14ac:dyDescent="0.3">
      <c r="A10" s="524" t="s">
        <v>197</v>
      </c>
      <c r="B10" s="525">
        <f t="shared" si="3"/>
        <v>241.04500000000002</v>
      </c>
      <c r="C10" s="526">
        <f t="shared" si="4"/>
        <v>183.417</v>
      </c>
      <c r="D10" s="522">
        <f t="shared" si="0"/>
        <v>76.092430873903211</v>
      </c>
      <c r="E10" s="525">
        <f t="shared" si="5"/>
        <v>276.38</v>
      </c>
      <c r="F10" s="526">
        <f t="shared" si="6"/>
        <v>196.566</v>
      </c>
      <c r="G10" s="523">
        <f t="shared" si="1"/>
        <v>71.12164411317751</v>
      </c>
      <c r="H10" s="526">
        <f t="shared" si="7"/>
        <v>268.18</v>
      </c>
      <c r="I10" s="526">
        <f t="shared" si="8"/>
        <v>198.82899999999998</v>
      </c>
      <c r="J10" s="522">
        <f t="shared" si="2"/>
        <v>74.140129763591602</v>
      </c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</row>
    <row r="11" spans="1:177" ht="15" customHeight="1" x14ac:dyDescent="0.3">
      <c r="A11" s="527" t="s">
        <v>183</v>
      </c>
      <c r="B11" s="516">
        <f>SUM(B12:B14)</f>
        <v>10175.611999999999</v>
      </c>
      <c r="C11" s="517">
        <f>SUM(C12:C14)</f>
        <v>339.57399999999996</v>
      </c>
      <c r="D11" s="518">
        <f t="shared" si="0"/>
        <v>3.337135889222191</v>
      </c>
      <c r="E11" s="516">
        <f>SUM(E12:E14)</f>
        <v>11006.371999999999</v>
      </c>
      <c r="F11" s="517">
        <f>SUM(F12:F14)</f>
        <v>349.52499999999998</v>
      </c>
      <c r="G11" s="519">
        <f t="shared" si="1"/>
        <v>3.1756604265238355</v>
      </c>
      <c r="H11" s="517">
        <f>SUM(H12:H14)</f>
        <v>11170.843999999999</v>
      </c>
      <c r="I11" s="517">
        <f>SUM(I12:I14)</f>
        <v>354.57</v>
      </c>
      <c r="J11" s="518">
        <f t="shared" si="2"/>
        <v>3.1740663462850258</v>
      </c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</row>
    <row r="12" spans="1:177" ht="15" customHeight="1" x14ac:dyDescent="0.3">
      <c r="A12" s="528" t="s">
        <v>195</v>
      </c>
      <c r="B12" s="520">
        <v>9239.5859999999993</v>
      </c>
      <c r="C12" s="521">
        <v>76.266000000000005</v>
      </c>
      <c r="D12" s="522">
        <f t="shared" si="0"/>
        <v>0.82542659378894256</v>
      </c>
      <c r="E12" s="520">
        <v>10002.715</v>
      </c>
      <c r="F12" s="521">
        <v>76.712000000000003</v>
      </c>
      <c r="G12" s="523">
        <f t="shared" si="1"/>
        <v>0.76691178345079314</v>
      </c>
      <c r="H12" s="529">
        <v>10201.236999999999</v>
      </c>
      <c r="I12" s="521">
        <v>77.989000000000004</v>
      </c>
      <c r="J12" s="522">
        <f t="shared" si="2"/>
        <v>0.7645053242072507</v>
      </c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</row>
    <row r="13" spans="1:177" ht="15" customHeight="1" x14ac:dyDescent="0.3">
      <c r="A13" s="528" t="s">
        <v>196</v>
      </c>
      <c r="B13" s="520">
        <v>697.125</v>
      </c>
      <c r="C13" s="521">
        <v>80.304000000000002</v>
      </c>
      <c r="D13" s="522">
        <f t="shared" si="0"/>
        <v>11.519311457772996</v>
      </c>
      <c r="E13" s="520">
        <v>737.90899999999999</v>
      </c>
      <c r="F13" s="521">
        <v>80.12</v>
      </c>
      <c r="G13" s="523">
        <f t="shared" si="1"/>
        <v>10.857707386683183</v>
      </c>
      <c r="H13" s="521">
        <v>707.91399999999999</v>
      </c>
      <c r="I13" s="521">
        <v>79.647999999999996</v>
      </c>
      <c r="J13" s="522">
        <f t="shared" si="2"/>
        <v>11.251084171241139</v>
      </c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</row>
    <row r="14" spans="1:177" ht="15" customHeight="1" x14ac:dyDescent="0.3">
      <c r="A14" s="530" t="s">
        <v>197</v>
      </c>
      <c r="B14" s="531">
        <v>238.90100000000001</v>
      </c>
      <c r="C14" s="532">
        <v>183.00399999999999</v>
      </c>
      <c r="D14" s="522">
        <f t="shared" si="0"/>
        <v>76.602442015730347</v>
      </c>
      <c r="E14" s="531">
        <v>265.74799999999999</v>
      </c>
      <c r="F14" s="532">
        <v>192.69300000000001</v>
      </c>
      <c r="G14" s="523">
        <f t="shared" si="1"/>
        <v>72.509670815961002</v>
      </c>
      <c r="H14" s="532">
        <v>261.69299999999998</v>
      </c>
      <c r="I14" s="532">
        <v>196.93299999999999</v>
      </c>
      <c r="J14" s="522">
        <f t="shared" si="2"/>
        <v>75.253445831565998</v>
      </c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</row>
    <row r="15" spans="1:177" ht="15" customHeight="1" x14ac:dyDescent="0.3">
      <c r="A15" s="533" t="s">
        <v>190</v>
      </c>
      <c r="B15" s="516">
        <f>SUM(B16:B18)</f>
        <v>1393.1740000000002</v>
      </c>
      <c r="C15" s="517">
        <f>SUM(C16:C18)</f>
        <v>16.958000000000002</v>
      </c>
      <c r="D15" s="518">
        <f t="shared" si="0"/>
        <v>1.2172205338313806</v>
      </c>
      <c r="E15" s="516">
        <f>SUM(E16:E18)</f>
        <v>1576.5619999999999</v>
      </c>
      <c r="F15" s="517">
        <f>SUM(F16:F18)</f>
        <v>16.908999999999999</v>
      </c>
      <c r="G15" s="519">
        <f t="shared" si="1"/>
        <v>1.0725236305327668</v>
      </c>
      <c r="H15" s="517">
        <f>SUM(H16:H18)</f>
        <v>1557.673</v>
      </c>
      <c r="I15" s="517">
        <f>SUM(I16:I18)</f>
        <v>14.977</v>
      </c>
      <c r="J15" s="518">
        <f t="shared" si="2"/>
        <v>0.96149833758433256</v>
      </c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</row>
    <row r="16" spans="1:177" ht="15" customHeight="1" x14ac:dyDescent="0.3">
      <c r="A16" s="485" t="s">
        <v>195</v>
      </c>
      <c r="B16" s="520">
        <v>1261.8610000000001</v>
      </c>
      <c r="C16" s="521">
        <v>8.3000000000000007</v>
      </c>
      <c r="D16" s="522">
        <f t="shared" si="0"/>
        <v>0.65775865963049818</v>
      </c>
      <c r="E16" s="520">
        <v>1470.8879999999999</v>
      </c>
      <c r="F16" s="521">
        <v>8.7949999999999999</v>
      </c>
      <c r="G16" s="523">
        <f t="shared" si="1"/>
        <v>0.59793811629437454</v>
      </c>
      <c r="H16" s="521">
        <v>1465.422</v>
      </c>
      <c r="I16" s="521">
        <v>8.8800000000000008</v>
      </c>
      <c r="J16" s="522">
        <f t="shared" si="2"/>
        <v>0.60596879260718084</v>
      </c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</row>
    <row r="17" spans="1:177" ht="15" customHeight="1" x14ac:dyDescent="0.3">
      <c r="A17" s="485" t="s">
        <v>196</v>
      </c>
      <c r="B17" s="520">
        <v>129.16900000000001</v>
      </c>
      <c r="C17" s="521">
        <v>8.2449999999999992</v>
      </c>
      <c r="D17" s="522">
        <f t="shared" si="0"/>
        <v>6.3831104986490557</v>
      </c>
      <c r="E17" s="520">
        <v>95.042000000000002</v>
      </c>
      <c r="F17" s="521">
        <v>4.2409999999999997</v>
      </c>
      <c r="G17" s="523">
        <f t="shared" si="1"/>
        <v>4.4622377475221473</v>
      </c>
      <c r="H17" s="521">
        <v>85.763999999999996</v>
      </c>
      <c r="I17" s="521">
        <v>4.2009999999999996</v>
      </c>
      <c r="J17" s="522">
        <f t="shared" si="2"/>
        <v>4.8983256377967441</v>
      </c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</row>
    <row r="18" spans="1:177" ht="15" customHeight="1" thickBot="1" x14ac:dyDescent="0.35">
      <c r="A18" s="487" t="s">
        <v>197</v>
      </c>
      <c r="B18" s="534">
        <v>2.1440000000000001</v>
      </c>
      <c r="C18" s="535">
        <v>0.41299999999999998</v>
      </c>
      <c r="D18" s="522">
        <f t="shared" si="0"/>
        <v>19.263059701492534</v>
      </c>
      <c r="E18" s="534">
        <v>10.632</v>
      </c>
      <c r="F18" s="535">
        <v>3.8730000000000002</v>
      </c>
      <c r="G18" s="536">
        <f t="shared" si="1"/>
        <v>36.427765237020317</v>
      </c>
      <c r="H18" s="535">
        <v>6.4870000000000001</v>
      </c>
      <c r="I18" s="535">
        <v>1.8959999999999999</v>
      </c>
      <c r="J18" s="522">
        <f t="shared" si="2"/>
        <v>29.227686141513797</v>
      </c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</row>
    <row r="19" spans="1:177" x14ac:dyDescent="0.3">
      <c r="A19" s="785"/>
      <c r="B19" s="786"/>
      <c r="C19" s="786"/>
      <c r="D19" s="786"/>
      <c r="E19" s="786"/>
      <c r="F19" s="786"/>
      <c r="G19" s="786"/>
      <c r="H19" s="786"/>
      <c r="I19" s="786"/>
      <c r="J19" s="786"/>
    </row>
    <row r="20" spans="1:177" x14ac:dyDescent="0.3">
      <c r="A20" s="156"/>
    </row>
    <row r="21" spans="1:177" x14ac:dyDescent="0.3">
      <c r="A21" s="156"/>
    </row>
  </sheetData>
  <mergeCells count="5">
    <mergeCell ref="A19:J19"/>
    <mergeCell ref="B5:D5"/>
    <mergeCell ref="E5:G5"/>
    <mergeCell ref="H5:J5"/>
    <mergeCell ref="A5:A6"/>
  </mergeCells>
  <pageMargins left="0.7" right="0.7" top="0.75" bottom="0.75" header="0.3" footer="0.3"/>
  <pageSetup paperSize="9" scale="72" orientation="portrait" r:id="rId1"/>
  <colBreaks count="1" manualBreakCount="1">
    <brk id="10" max="1048575" man="1"/>
  </colBreaks>
  <ignoredErrors>
    <ignoredError sqref="D7:G11 D15:G15 D12 G12 D13 G13 D14 G14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118"/>
  <dimension ref="A1:FU20"/>
  <sheetViews>
    <sheetView showGridLines="0" topLeftCell="A3" zoomScaleNormal="100" workbookViewId="0">
      <selection activeCell="A4" sqref="A4"/>
    </sheetView>
  </sheetViews>
  <sheetFormatPr defaultColWidth="9.109375" defaultRowHeight="14.4" x14ac:dyDescent="0.3"/>
  <cols>
    <col min="1" max="1" width="20.33203125" style="34" customWidth="1"/>
    <col min="2" max="2" width="7.88671875" style="25" bestFit="1" customWidth="1"/>
    <col min="3" max="3" width="6.44140625" style="25" bestFit="1" customWidth="1"/>
    <col min="4" max="4" width="7.33203125" style="25" customWidth="1"/>
    <col min="5" max="5" width="7.88671875" style="25" bestFit="1" customWidth="1"/>
    <col min="6" max="6" width="6.44140625" style="25" bestFit="1" customWidth="1"/>
    <col min="7" max="7" width="7.33203125" style="25" customWidth="1"/>
    <col min="8" max="8" width="8.88671875" style="25" customWidth="1"/>
    <col min="9" max="9" width="6.44140625" style="25" bestFit="1" customWidth="1"/>
    <col min="10" max="10" width="7.33203125" style="25" customWidth="1"/>
    <col min="11" max="11" width="9.109375" style="25"/>
    <col min="12" max="14" width="5.77734375" style="25" customWidth="1"/>
    <col min="15" max="16384" width="9.109375" style="25"/>
  </cols>
  <sheetData>
    <row r="1" spans="1:177" hidden="1" x14ac:dyDescent="0.3">
      <c r="A1" s="87"/>
      <c r="B1" s="22"/>
      <c r="C1" s="22"/>
      <c r="D1" s="22"/>
      <c r="E1" s="22"/>
      <c r="F1" s="22"/>
      <c r="G1" s="22"/>
      <c r="H1" s="22"/>
      <c r="I1" s="22"/>
      <c r="J1" s="22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</row>
    <row r="2" spans="1:177" hidden="1" x14ac:dyDescent="0.3">
      <c r="A2" s="87"/>
      <c r="B2" s="22"/>
      <c r="C2" s="22"/>
      <c r="D2" s="22"/>
      <c r="E2" s="22"/>
      <c r="F2" s="22"/>
      <c r="G2" s="22"/>
      <c r="H2" s="22"/>
      <c r="I2" s="22"/>
      <c r="J2" s="2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</row>
    <row r="3" spans="1:177" x14ac:dyDescent="0.3">
      <c r="A3" s="87"/>
      <c r="B3" s="22"/>
      <c r="C3" s="22"/>
      <c r="D3" s="22"/>
      <c r="E3" s="22"/>
      <c r="F3" s="22"/>
      <c r="G3" s="22"/>
      <c r="H3" s="22"/>
      <c r="I3" s="22"/>
      <c r="J3" s="22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</row>
    <row r="4" spans="1:177" x14ac:dyDescent="0.3">
      <c r="A4" s="157" t="s">
        <v>458</v>
      </c>
      <c r="B4" s="157"/>
      <c r="C4" s="157"/>
      <c r="D4" s="157"/>
      <c r="E4" s="157"/>
      <c r="F4" s="157"/>
      <c r="G4" s="157"/>
      <c r="H4" s="157"/>
      <c r="I4" s="157"/>
      <c r="J4" s="48" t="s">
        <v>354</v>
      </c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</row>
    <row r="5" spans="1:177" x14ac:dyDescent="0.3">
      <c r="A5" s="793" t="s">
        <v>198</v>
      </c>
      <c r="B5" s="780" t="s">
        <v>610</v>
      </c>
      <c r="C5" s="781"/>
      <c r="D5" s="782"/>
      <c r="E5" s="780" t="s">
        <v>617</v>
      </c>
      <c r="F5" s="781"/>
      <c r="G5" s="782"/>
      <c r="H5" s="794" t="str">
        <f>'Pr 3'!K1</f>
        <v>03/2025.</v>
      </c>
      <c r="I5" s="794"/>
      <c r="J5" s="794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</row>
    <row r="6" spans="1:177" ht="24" x14ac:dyDescent="0.3">
      <c r="A6" s="793"/>
      <c r="B6" s="618" t="s">
        <v>2</v>
      </c>
      <c r="C6" s="619" t="s">
        <v>152</v>
      </c>
      <c r="D6" s="620" t="s">
        <v>182</v>
      </c>
      <c r="E6" s="618" t="s">
        <v>2</v>
      </c>
      <c r="F6" s="619" t="s">
        <v>152</v>
      </c>
      <c r="G6" s="620" t="s">
        <v>182</v>
      </c>
      <c r="H6" s="621" t="s">
        <v>2</v>
      </c>
      <c r="I6" s="619" t="s">
        <v>152</v>
      </c>
      <c r="J6" s="619" t="s">
        <v>182</v>
      </c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</row>
    <row r="7" spans="1:177" x14ac:dyDescent="0.3">
      <c r="A7" s="484" t="s">
        <v>199</v>
      </c>
      <c r="B7" s="622">
        <f>+B10+B13+B16</f>
        <v>6056.5429999999997</v>
      </c>
      <c r="C7" s="623">
        <f>+C10+C13+C16</f>
        <v>314.91500000000002</v>
      </c>
      <c r="D7" s="624">
        <f>IFERROR(C7*100/B7,0)</f>
        <v>5.1995833266601101</v>
      </c>
      <c r="E7" s="622">
        <f>+E10+E13+E16</f>
        <v>6695.1630000000005</v>
      </c>
      <c r="F7" s="623">
        <f>+F10+F13+F16</f>
        <v>327.17099999999999</v>
      </c>
      <c r="G7" s="624">
        <f>IFERROR(F7*100/E7,0)</f>
        <v>4.8866771428865876</v>
      </c>
      <c r="H7" s="623">
        <f>+H10+H13+H16</f>
        <v>6700.7530000000006</v>
      </c>
      <c r="I7" s="623">
        <f>+I10+I13+I16</f>
        <v>332.14200000000005</v>
      </c>
      <c r="J7" s="625">
        <f>IFERROR(I7*100/H7,0)</f>
        <v>4.9567861999987164</v>
      </c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</row>
    <row r="8" spans="1:177" x14ac:dyDescent="0.3">
      <c r="A8" s="485" t="s">
        <v>557</v>
      </c>
      <c r="B8" s="520">
        <f t="shared" ref="B8:I9" si="0">+B11+B14+B17</f>
        <v>3038.5990000000002</v>
      </c>
      <c r="C8" s="521">
        <f t="shared" si="0"/>
        <v>158.84800000000001</v>
      </c>
      <c r="D8" s="626">
        <f t="shared" ref="D8:D18" si="1">IFERROR(C8*100/B8,0)</f>
        <v>5.2276723582150852</v>
      </c>
      <c r="E8" s="520">
        <f t="shared" ref="E8:F8" si="2">+E11+E14+E17</f>
        <v>3391.9029999999998</v>
      </c>
      <c r="F8" s="521">
        <f t="shared" si="2"/>
        <v>172.827</v>
      </c>
      <c r="G8" s="626">
        <f>IFERROR(F8*100/E8,0)</f>
        <v>5.0952813214292982</v>
      </c>
      <c r="H8" s="521">
        <f t="shared" ref="H8:I8" si="3">+H11+H14+H17</f>
        <v>3316.1590000000006</v>
      </c>
      <c r="I8" s="521">
        <f t="shared" si="3"/>
        <v>178.62</v>
      </c>
      <c r="J8" s="627">
        <f>IFERROR(I8*100/H8,0)</f>
        <v>5.386352101934798</v>
      </c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</row>
    <row r="9" spans="1:177" ht="15" customHeight="1" x14ac:dyDescent="0.3">
      <c r="A9" s="486" t="s">
        <v>448</v>
      </c>
      <c r="B9" s="628">
        <f t="shared" si="0"/>
        <v>3017.944</v>
      </c>
      <c r="C9" s="629">
        <f t="shared" si="0"/>
        <v>156.06700000000001</v>
      </c>
      <c r="D9" s="630">
        <f t="shared" si="1"/>
        <v>5.1713020519930124</v>
      </c>
      <c r="E9" s="628">
        <f t="shared" si="0"/>
        <v>3303.26</v>
      </c>
      <c r="F9" s="629">
        <f t="shared" si="0"/>
        <v>154.34399999999999</v>
      </c>
      <c r="G9" s="630">
        <f>IFERROR(F9*100/E9,0)</f>
        <v>4.6724750700822817</v>
      </c>
      <c r="H9" s="629">
        <f t="shared" si="0"/>
        <v>3384.5940000000005</v>
      </c>
      <c r="I9" s="629">
        <f t="shared" si="0"/>
        <v>153.52200000000002</v>
      </c>
      <c r="J9" s="631">
        <f>IFERROR(I9*100/H9,0)</f>
        <v>4.535905931405658</v>
      </c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</row>
    <row r="10" spans="1:177" x14ac:dyDescent="0.3">
      <c r="A10" s="484" t="s">
        <v>195</v>
      </c>
      <c r="B10" s="632">
        <f>+B11+B12</f>
        <v>5143.0889999999999</v>
      </c>
      <c r="C10" s="633">
        <f>+C11+C12</f>
        <v>68.38900000000001</v>
      </c>
      <c r="D10" s="634">
        <f>IFERROR(C10*100/B10,0)</f>
        <v>1.3297261626232799</v>
      </c>
      <c r="E10" s="632">
        <f>+E11+E12</f>
        <v>5714.0010000000002</v>
      </c>
      <c r="F10" s="633">
        <f>+F11+F12</f>
        <v>69.738</v>
      </c>
      <c r="G10" s="634">
        <f>IFERROR(F10*100/E10,0)</f>
        <v>1.2204758102072435</v>
      </c>
      <c r="H10" s="633">
        <f>+H11+H12</f>
        <v>5754.3950000000004</v>
      </c>
      <c r="I10" s="633">
        <f>+I11+I12</f>
        <v>71.66</v>
      </c>
      <c r="J10" s="635">
        <f>IFERROR(I10*100/H10,0)</f>
        <v>1.2453090203227271</v>
      </c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</row>
    <row r="11" spans="1:177" x14ac:dyDescent="0.3">
      <c r="A11" s="485" t="s">
        <v>557</v>
      </c>
      <c r="B11" s="520">
        <v>2481.7440000000001</v>
      </c>
      <c r="C11" s="521">
        <v>32.789000000000001</v>
      </c>
      <c r="D11" s="523">
        <f t="shared" si="1"/>
        <v>1.3212079892204835</v>
      </c>
      <c r="E11" s="520">
        <v>2762.6170000000002</v>
      </c>
      <c r="F11" s="521">
        <v>32.9</v>
      </c>
      <c r="G11" s="523">
        <f t="shared" ref="G11:G18" si="4">IFERROR(F11*100/E11,0)</f>
        <v>1.1908997881356698</v>
      </c>
      <c r="H11" s="521">
        <f>+'Pr 3'!B5</f>
        <v>2679.8760000000002</v>
      </c>
      <c r="I11" s="521">
        <f>+'Pr 3'!F5</f>
        <v>32.749999999999993</v>
      </c>
      <c r="J11" s="522">
        <f t="shared" ref="J11:J18" si="5">IFERROR(I11*100/H11,0)</f>
        <v>1.2220714689784149</v>
      </c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</row>
    <row r="12" spans="1:177" ht="15" customHeight="1" x14ac:dyDescent="0.3">
      <c r="A12" s="486" t="s">
        <v>448</v>
      </c>
      <c r="B12" s="520">
        <v>2661.3449999999998</v>
      </c>
      <c r="C12" s="521">
        <v>35.6</v>
      </c>
      <c r="D12" s="523">
        <f t="shared" si="1"/>
        <v>1.3376694866693346</v>
      </c>
      <c r="E12" s="520">
        <v>2951.384</v>
      </c>
      <c r="F12" s="521">
        <v>36.838000000000001</v>
      </c>
      <c r="G12" s="523">
        <f t="shared" si="4"/>
        <v>1.2481601851876951</v>
      </c>
      <c r="H12" s="521">
        <f>+'Pr 3'!B27</f>
        <v>3074.5190000000002</v>
      </c>
      <c r="I12" s="521">
        <f>+'Pr 3'!F27</f>
        <v>38.910000000000004</v>
      </c>
      <c r="J12" s="522">
        <f t="shared" si="5"/>
        <v>1.2655638166490433</v>
      </c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</row>
    <row r="13" spans="1:177" x14ac:dyDescent="0.3">
      <c r="A13" s="484" t="s">
        <v>196</v>
      </c>
      <c r="B13" s="622">
        <f>+B14+B15</f>
        <v>692.94899999999996</v>
      </c>
      <c r="C13" s="623">
        <f>+C14+C15</f>
        <v>79.715000000000003</v>
      </c>
      <c r="D13" s="636">
        <f>IFERROR(C13*100/B13,0)</f>
        <v>11.503732597925678</v>
      </c>
      <c r="E13" s="622">
        <f>+E14+E15</f>
        <v>731.87400000000002</v>
      </c>
      <c r="F13" s="623">
        <f>+F14+F15</f>
        <v>79.466000000000008</v>
      </c>
      <c r="G13" s="636">
        <f>IFERROR(F13*100/E13,0)</f>
        <v>10.857879908290226</v>
      </c>
      <c r="H13" s="623">
        <f>+H14+H15</f>
        <v>701.62699999999995</v>
      </c>
      <c r="I13" s="623">
        <f>+I14+I15</f>
        <v>78.963999999999999</v>
      </c>
      <c r="J13" s="637">
        <f>IFERROR(I13*100/H13,0)</f>
        <v>11.254412957312077</v>
      </c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</row>
    <row r="14" spans="1:177" x14ac:dyDescent="0.3">
      <c r="A14" s="485" t="s">
        <v>557</v>
      </c>
      <c r="B14" s="520">
        <v>439.27199999999999</v>
      </c>
      <c r="C14" s="521">
        <v>46.003999999999998</v>
      </c>
      <c r="D14" s="523">
        <f t="shared" si="1"/>
        <v>10.472782239705694</v>
      </c>
      <c r="E14" s="520">
        <v>478.00799999999998</v>
      </c>
      <c r="F14" s="521">
        <v>44.953000000000003</v>
      </c>
      <c r="G14" s="523">
        <f t="shared" si="4"/>
        <v>9.4042359123696677</v>
      </c>
      <c r="H14" s="521">
        <f>+'Pr 3'!C5</f>
        <v>490.05</v>
      </c>
      <c r="I14" s="521">
        <f>+'Pr 3'!G5</f>
        <v>47.880999999999993</v>
      </c>
      <c r="J14" s="522">
        <f t="shared" si="5"/>
        <v>9.7706356494235269</v>
      </c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</row>
    <row r="15" spans="1:177" ht="15" customHeight="1" x14ac:dyDescent="0.3">
      <c r="A15" s="486" t="s">
        <v>448</v>
      </c>
      <c r="B15" s="628">
        <v>253.67699999999999</v>
      </c>
      <c r="C15" s="629">
        <v>33.710999999999999</v>
      </c>
      <c r="D15" s="638">
        <f t="shared" si="1"/>
        <v>13.288946179590582</v>
      </c>
      <c r="E15" s="628">
        <v>253.86600000000001</v>
      </c>
      <c r="F15" s="629">
        <v>34.512999999999998</v>
      </c>
      <c r="G15" s="638">
        <f t="shared" si="4"/>
        <v>13.594967423758989</v>
      </c>
      <c r="H15" s="629">
        <f>+'Pr 3'!C27</f>
        <v>211.577</v>
      </c>
      <c r="I15" s="629">
        <f>+'Pr 3'!G27</f>
        <v>31.083000000000002</v>
      </c>
      <c r="J15" s="639">
        <f t="shared" si="5"/>
        <v>14.69110536589516</v>
      </c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</row>
    <row r="16" spans="1:177" x14ac:dyDescent="0.3">
      <c r="A16" s="484" t="s">
        <v>197</v>
      </c>
      <c r="B16" s="632">
        <f>+B17+B18</f>
        <v>220.505</v>
      </c>
      <c r="C16" s="633">
        <f>+C17+C18</f>
        <v>166.81100000000001</v>
      </c>
      <c r="D16" s="634">
        <f>IFERROR(C16*100/B16,0)</f>
        <v>75.649531756649523</v>
      </c>
      <c r="E16" s="632">
        <f>+E17+E18</f>
        <v>249.28800000000001</v>
      </c>
      <c r="F16" s="633">
        <f>+F17+F18</f>
        <v>177.96699999999998</v>
      </c>
      <c r="G16" s="634">
        <f>IFERROR(F16*100/E16,0)</f>
        <v>71.390119059080249</v>
      </c>
      <c r="H16" s="633">
        <f>+H17+H18</f>
        <v>244.73099999999999</v>
      </c>
      <c r="I16" s="633">
        <f>+I17+I18</f>
        <v>181.51800000000003</v>
      </c>
      <c r="J16" s="635">
        <f>IFERROR(I16*100/H16,0)</f>
        <v>74.170415680890457</v>
      </c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</row>
    <row r="17" spans="1:177" ht="15" customHeight="1" x14ac:dyDescent="0.3">
      <c r="A17" s="485" t="s">
        <v>557</v>
      </c>
      <c r="B17" s="520">
        <v>117.583</v>
      </c>
      <c r="C17" s="521">
        <v>80.055000000000007</v>
      </c>
      <c r="D17" s="523">
        <f t="shared" si="1"/>
        <v>68.083821640883471</v>
      </c>
      <c r="E17" s="520">
        <v>151.27799999999999</v>
      </c>
      <c r="F17" s="521">
        <v>94.974000000000004</v>
      </c>
      <c r="G17" s="523">
        <f t="shared" si="4"/>
        <v>62.781104985523342</v>
      </c>
      <c r="H17" s="521">
        <f>+'Pr 3'!D5</f>
        <v>146.233</v>
      </c>
      <c r="I17" s="521">
        <f>+'Pr 3'!H5</f>
        <v>97.989000000000004</v>
      </c>
      <c r="J17" s="522">
        <f t="shared" si="5"/>
        <v>67.008814699828349</v>
      </c>
      <c r="P17" s="49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</row>
    <row r="18" spans="1:177" ht="15" customHeight="1" thickBot="1" x14ac:dyDescent="0.35">
      <c r="A18" s="487" t="s">
        <v>448</v>
      </c>
      <c r="B18" s="534">
        <v>102.922</v>
      </c>
      <c r="C18" s="535">
        <v>86.756</v>
      </c>
      <c r="D18" s="640">
        <f t="shared" si="1"/>
        <v>84.292959717067305</v>
      </c>
      <c r="E18" s="534">
        <v>98.01</v>
      </c>
      <c r="F18" s="535">
        <v>82.992999999999995</v>
      </c>
      <c r="G18" s="640">
        <f t="shared" si="4"/>
        <v>84.67809407203346</v>
      </c>
      <c r="H18" s="535">
        <f>+'Pr 3'!D27</f>
        <v>98.498000000000005</v>
      </c>
      <c r="I18" s="535">
        <f>+'Pr 3'!H27</f>
        <v>83.529000000000011</v>
      </c>
      <c r="J18" s="641">
        <f t="shared" si="5"/>
        <v>84.802737111413435</v>
      </c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</row>
    <row r="20" spans="1:177" x14ac:dyDescent="0.3">
      <c r="A20" s="28"/>
      <c r="B20" s="36"/>
      <c r="C20" s="36"/>
      <c r="D20" s="36"/>
      <c r="E20" s="36"/>
      <c r="F20" s="36"/>
      <c r="G20" s="36"/>
      <c r="H20" s="36"/>
      <c r="I20" s="36"/>
      <c r="J20" s="36"/>
    </row>
  </sheetData>
  <mergeCells count="4">
    <mergeCell ref="A5:A6"/>
    <mergeCell ref="B5:D5"/>
    <mergeCell ref="E5:G5"/>
    <mergeCell ref="H5:J5"/>
  </mergeCells>
  <pageMargins left="0.7" right="0.7" top="0.75" bottom="0.75" header="0.3" footer="0.3"/>
  <pageSetup paperSize="9" scale="78" orientation="portrait" r:id="rId1"/>
  <colBreaks count="1" manualBreakCount="1">
    <brk id="10" max="1048575" man="1"/>
  </colBreaks>
  <ignoredErrors>
    <ignoredError sqref="D7:D18 G7:G18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83"/>
  <dimension ref="A1:FP21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30.6640625" style="171" customWidth="1"/>
    <col min="2" max="9" width="7.109375" style="3" customWidth="1"/>
    <col min="10" max="10" width="9.109375" style="3"/>
    <col min="11" max="14" width="5.77734375" style="3" customWidth="1"/>
    <col min="15" max="16384" width="9.109375" style="3"/>
  </cols>
  <sheetData>
    <row r="1" spans="1:172" ht="14.4" hidden="1" x14ac:dyDescent="0.3">
      <c r="B1" s="33"/>
      <c r="C1" s="33"/>
      <c r="D1" s="33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</row>
    <row r="2" spans="1:172" ht="14.4" x14ac:dyDescent="0.3"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</row>
    <row r="3" spans="1:172" ht="15" customHeight="1" x14ac:dyDescent="0.3">
      <c r="A3" s="45" t="s">
        <v>270</v>
      </c>
      <c r="B3" s="172"/>
      <c r="C3" s="172"/>
      <c r="D3" s="172"/>
      <c r="E3" s="172"/>
      <c r="F3" s="45"/>
      <c r="G3" s="45"/>
      <c r="H3" s="45"/>
      <c r="I3" s="48" t="s">
        <v>3</v>
      </c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</row>
    <row r="4" spans="1:172" ht="15" customHeight="1" x14ac:dyDescent="0.3">
      <c r="A4" s="797" t="s">
        <v>115</v>
      </c>
      <c r="B4" s="801" t="s">
        <v>617</v>
      </c>
      <c r="C4" s="802"/>
      <c r="D4" s="802"/>
      <c r="E4" s="803"/>
      <c r="F4" s="801" t="s">
        <v>619</v>
      </c>
      <c r="G4" s="802"/>
      <c r="H4" s="802"/>
      <c r="I4" s="802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</row>
    <row r="5" spans="1:172" ht="33" customHeight="1" x14ac:dyDescent="0.3">
      <c r="A5" s="797"/>
      <c r="B5" s="799" t="s">
        <v>583</v>
      </c>
      <c r="C5" s="800"/>
      <c r="D5" s="800" t="s">
        <v>586</v>
      </c>
      <c r="E5" s="804"/>
      <c r="F5" s="799" t="s">
        <v>583</v>
      </c>
      <c r="G5" s="800"/>
      <c r="H5" s="800" t="s">
        <v>586</v>
      </c>
      <c r="I5" s="800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</row>
    <row r="6" spans="1:172" ht="15" customHeight="1" x14ac:dyDescent="0.3">
      <c r="A6" s="798"/>
      <c r="B6" s="721" t="s">
        <v>116</v>
      </c>
      <c r="C6" s="722" t="s">
        <v>117</v>
      </c>
      <c r="D6" s="722" t="s">
        <v>116</v>
      </c>
      <c r="E6" s="723" t="s">
        <v>117</v>
      </c>
      <c r="F6" s="721" t="s">
        <v>116</v>
      </c>
      <c r="G6" s="722" t="s">
        <v>117</v>
      </c>
      <c r="H6" s="722" t="s">
        <v>116</v>
      </c>
      <c r="I6" s="722" t="s">
        <v>117</v>
      </c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</row>
    <row r="7" spans="1:172" ht="14.1" customHeight="1" x14ac:dyDescent="0.3">
      <c r="A7" s="165" t="s">
        <v>378</v>
      </c>
      <c r="B7" s="331">
        <v>5.0692000000000004</v>
      </c>
      <c r="C7" s="332">
        <v>5.9195000000000002</v>
      </c>
      <c r="D7" s="332">
        <v>2.2079</v>
      </c>
      <c r="E7" s="333">
        <v>2.4651999999999998</v>
      </c>
      <c r="F7" s="331">
        <v>5.0971000000000002</v>
      </c>
      <c r="G7" s="332">
        <v>5.8540999999999999</v>
      </c>
      <c r="H7" s="332">
        <v>2.1760000000000002</v>
      </c>
      <c r="I7" s="332">
        <v>2.4100999999999999</v>
      </c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</row>
    <row r="8" spans="1:172" ht="14.1" customHeight="1" x14ac:dyDescent="0.3">
      <c r="A8" s="166" t="s">
        <v>379</v>
      </c>
      <c r="B8" s="325">
        <v>5.2507999999999999</v>
      </c>
      <c r="C8" s="326">
        <v>5.7446999999999999</v>
      </c>
      <c r="D8" s="326"/>
      <c r="E8" s="327"/>
      <c r="F8" s="325"/>
      <c r="G8" s="326"/>
      <c r="H8" s="326"/>
      <c r="I8" s="326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</row>
    <row r="9" spans="1:172" ht="14.1" customHeight="1" x14ac:dyDescent="0.3">
      <c r="A9" s="166" t="s">
        <v>380</v>
      </c>
      <c r="B9" s="325">
        <v>4.7731000000000003</v>
      </c>
      <c r="C9" s="326">
        <v>5.4364999999999997</v>
      </c>
      <c r="D9" s="326">
        <v>2.1663999999999999</v>
      </c>
      <c r="E9" s="327">
        <v>2.3815</v>
      </c>
      <c r="F9" s="325">
        <v>4.7156000000000002</v>
      </c>
      <c r="G9" s="326">
        <v>5.3395000000000001</v>
      </c>
      <c r="H9" s="326">
        <v>2.1109</v>
      </c>
      <c r="I9" s="326">
        <v>2.3008999999999999</v>
      </c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</row>
    <row r="10" spans="1:172" ht="14.1" customHeight="1" x14ac:dyDescent="0.3">
      <c r="A10" s="166" t="s">
        <v>441</v>
      </c>
      <c r="B10" s="325">
        <v>4.0608000000000004</v>
      </c>
      <c r="C10" s="326">
        <v>4.5400999999999998</v>
      </c>
      <c r="D10" s="326"/>
      <c r="E10" s="327"/>
      <c r="F10" s="325"/>
      <c r="G10" s="326"/>
      <c r="H10" s="326"/>
      <c r="I10" s="326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</row>
    <row r="11" spans="1:172" ht="14.1" customHeight="1" x14ac:dyDescent="0.3">
      <c r="A11" s="166" t="s">
        <v>381</v>
      </c>
      <c r="B11" s="325">
        <v>9.2645</v>
      </c>
      <c r="C11" s="326">
        <v>13.097799999999999</v>
      </c>
      <c r="D11" s="326">
        <v>7.3223000000000003</v>
      </c>
      <c r="E11" s="327">
        <v>12.8081</v>
      </c>
      <c r="F11" s="325">
        <v>8.9209999999999994</v>
      </c>
      <c r="G11" s="326">
        <v>11.688000000000001</v>
      </c>
      <c r="H11" s="326">
        <v>7.0162000000000004</v>
      </c>
      <c r="I11" s="326">
        <v>10.7349</v>
      </c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</row>
    <row r="12" spans="1:172" ht="14.1" customHeight="1" x14ac:dyDescent="0.3">
      <c r="A12" s="167" t="s">
        <v>382</v>
      </c>
      <c r="B12" s="328">
        <v>5.3734000000000002</v>
      </c>
      <c r="C12" s="329">
        <v>5.6879</v>
      </c>
      <c r="D12" s="329">
        <v>3.875</v>
      </c>
      <c r="E12" s="330">
        <v>4.5599999999999996</v>
      </c>
      <c r="F12" s="328">
        <v>5.4924999999999997</v>
      </c>
      <c r="G12" s="329">
        <v>5.7439999999999998</v>
      </c>
      <c r="H12" s="329">
        <v>7.86</v>
      </c>
      <c r="I12" s="329">
        <v>10.029999999999999</v>
      </c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</row>
    <row r="13" spans="1:172" ht="14.1" customHeight="1" x14ac:dyDescent="0.3">
      <c r="A13" s="168" t="s">
        <v>383</v>
      </c>
      <c r="B13" s="331">
        <v>5.9576000000000002</v>
      </c>
      <c r="C13" s="332">
        <v>6.9805000000000001</v>
      </c>
      <c r="D13" s="332">
        <v>5.1245000000000003</v>
      </c>
      <c r="E13" s="333">
        <v>7.1665000000000001</v>
      </c>
      <c r="F13" s="331">
        <v>5.8752000000000004</v>
      </c>
      <c r="G13" s="332">
        <v>7.0129000000000001</v>
      </c>
      <c r="H13" s="332">
        <v>4.8560999999999996</v>
      </c>
      <c r="I13" s="332">
        <v>5.7329999999999997</v>
      </c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</row>
    <row r="14" spans="1:172" ht="14.1" customHeight="1" x14ac:dyDescent="0.3">
      <c r="A14" s="166" t="s">
        <v>379</v>
      </c>
      <c r="B14" s="325">
        <v>5.9142999999999999</v>
      </c>
      <c r="C14" s="326">
        <v>6.1024000000000003</v>
      </c>
      <c r="D14" s="326">
        <v>4.5842999999999998</v>
      </c>
      <c r="E14" s="327">
        <v>4.6924999999999999</v>
      </c>
      <c r="F14" s="325">
        <v>6.2290000000000001</v>
      </c>
      <c r="G14" s="326">
        <v>6.6083999999999996</v>
      </c>
      <c r="H14" s="326"/>
      <c r="I14" s="326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</row>
    <row r="15" spans="1:172" ht="14.1" customHeight="1" x14ac:dyDescent="0.3">
      <c r="A15" s="166" t="s">
        <v>380</v>
      </c>
      <c r="B15" s="325">
        <v>5.8708</v>
      </c>
      <c r="C15" s="326">
        <v>6.3170000000000002</v>
      </c>
      <c r="D15" s="326">
        <v>4.4732000000000003</v>
      </c>
      <c r="E15" s="327">
        <v>4.2615999999999996</v>
      </c>
      <c r="F15" s="325">
        <v>5.7591999999999999</v>
      </c>
      <c r="G15" s="326">
        <v>6.3593999999999999</v>
      </c>
      <c r="H15" s="326">
        <v>4.0850999999999997</v>
      </c>
      <c r="I15" s="326">
        <v>4.3529999999999998</v>
      </c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</row>
    <row r="16" spans="1:172" ht="14.1" customHeight="1" x14ac:dyDescent="0.3">
      <c r="A16" s="166" t="s">
        <v>441</v>
      </c>
      <c r="B16" s="325">
        <v>4.9379999999999997</v>
      </c>
      <c r="C16" s="326">
        <v>5.3959999999999999</v>
      </c>
      <c r="D16" s="326">
        <v>4</v>
      </c>
      <c r="E16" s="327">
        <v>4.13</v>
      </c>
      <c r="F16" s="325">
        <v>5.1532999999999998</v>
      </c>
      <c r="G16" s="326">
        <v>5.6093999999999999</v>
      </c>
      <c r="H16" s="326"/>
      <c r="I16" s="32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</row>
    <row r="17" spans="1:172" ht="14.1" customHeight="1" x14ac:dyDescent="0.3">
      <c r="A17" s="166" t="s">
        <v>381</v>
      </c>
      <c r="B17" s="325">
        <v>6.0627000000000004</v>
      </c>
      <c r="C17" s="326">
        <v>7.6314000000000002</v>
      </c>
      <c r="D17" s="326">
        <v>5.5026999999999999</v>
      </c>
      <c r="E17" s="327">
        <v>8.8663000000000007</v>
      </c>
      <c r="F17" s="325">
        <v>5.9913999999999996</v>
      </c>
      <c r="G17" s="326">
        <v>7.5183999999999997</v>
      </c>
      <c r="H17" s="326">
        <v>5.1059000000000001</v>
      </c>
      <c r="I17" s="326">
        <v>6.1902999999999997</v>
      </c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</row>
    <row r="18" spans="1:172" ht="14.1" customHeight="1" x14ac:dyDescent="0.3">
      <c r="A18" s="169" t="s">
        <v>384</v>
      </c>
      <c r="B18" s="325">
        <v>4.1180000000000003</v>
      </c>
      <c r="C18" s="326">
        <v>4.8419999999999996</v>
      </c>
      <c r="D18" s="326">
        <v>3.8786999999999998</v>
      </c>
      <c r="E18" s="327">
        <v>4.3975</v>
      </c>
      <c r="F18" s="325">
        <v>4.0251999999999999</v>
      </c>
      <c r="G18" s="326">
        <v>4.6135999999999999</v>
      </c>
      <c r="H18" s="326">
        <v>3.7921</v>
      </c>
      <c r="I18" s="326">
        <v>4.2801999999999998</v>
      </c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</row>
    <row r="19" spans="1:172" ht="14.1" customHeight="1" x14ac:dyDescent="0.3">
      <c r="A19" s="167" t="s">
        <v>382</v>
      </c>
      <c r="B19" s="328">
        <v>5.4200999999999997</v>
      </c>
      <c r="C19" s="329">
        <v>5.8848000000000003</v>
      </c>
      <c r="D19" s="329">
        <v>5.0381999999999998</v>
      </c>
      <c r="E19" s="330">
        <v>5.3544</v>
      </c>
      <c r="F19" s="328">
        <v>4.8756000000000004</v>
      </c>
      <c r="G19" s="329">
        <v>5.2070999999999996</v>
      </c>
      <c r="H19" s="329">
        <v>5.3150000000000004</v>
      </c>
      <c r="I19" s="329">
        <v>5.625</v>
      </c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</row>
    <row r="20" spans="1:172" ht="14.1" customHeight="1" thickBot="1" x14ac:dyDescent="0.35">
      <c r="A20" s="170" t="s">
        <v>385</v>
      </c>
      <c r="B20" s="334">
        <v>5.7686999999999999</v>
      </c>
      <c r="C20" s="335">
        <v>6.7549000000000001</v>
      </c>
      <c r="D20" s="335">
        <v>3.9554999999999998</v>
      </c>
      <c r="E20" s="336">
        <v>5.2821999999999996</v>
      </c>
      <c r="F20" s="334">
        <v>5.7061000000000002</v>
      </c>
      <c r="G20" s="335">
        <v>6.7611999999999997</v>
      </c>
      <c r="H20" s="335">
        <v>3.8645999999999998</v>
      </c>
      <c r="I20" s="335">
        <v>4.5037000000000003</v>
      </c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</row>
    <row r="21" spans="1:172" ht="14.4" x14ac:dyDescent="0.3">
      <c r="A21" s="795" t="s">
        <v>135</v>
      </c>
      <c r="B21" s="796"/>
      <c r="C21" s="796"/>
      <c r="D21" s="796"/>
      <c r="E21" s="796"/>
      <c r="F21" s="796"/>
      <c r="G21" s="796"/>
      <c r="H21" s="796"/>
      <c r="I21" s="796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</row>
  </sheetData>
  <mergeCells count="8">
    <mergeCell ref="A21:I21"/>
    <mergeCell ref="A4:A6"/>
    <mergeCell ref="B5:C5"/>
    <mergeCell ref="B4:E4"/>
    <mergeCell ref="F4:I4"/>
    <mergeCell ref="D5:E5"/>
    <mergeCell ref="F5:G5"/>
    <mergeCell ref="H5:I5"/>
  </mergeCells>
  <pageMargins left="0.7" right="0.7" top="0.75" bottom="0.75" header="0.3" footer="0.3"/>
  <pageSetup paperSize="9" scale="97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85"/>
  <dimension ref="A1:FT10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35.88671875" style="3" customWidth="1"/>
    <col min="2" max="9" width="6.5546875" style="3" customWidth="1"/>
    <col min="10" max="11" width="9.109375" style="3"/>
    <col min="12" max="14" width="5.77734375" style="3" customWidth="1"/>
    <col min="15" max="16384" width="9.109375" style="3"/>
  </cols>
  <sheetData>
    <row r="1" spans="1:176" ht="14.4" hidden="1" customHeight="1" thickBot="1" x14ac:dyDescent="0.35">
      <c r="B1" s="33"/>
      <c r="C1" s="33"/>
      <c r="D1" s="33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</row>
    <row r="2" spans="1:176" ht="14.4" x14ac:dyDescent="0.3"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</row>
    <row r="3" spans="1:176" ht="15" customHeight="1" x14ac:dyDescent="0.3">
      <c r="A3" s="45" t="s">
        <v>271</v>
      </c>
      <c r="B3" s="45"/>
      <c r="C3" s="45"/>
      <c r="D3" s="45"/>
      <c r="E3" s="45"/>
      <c r="F3" s="45"/>
      <c r="G3" s="45"/>
      <c r="H3" s="45"/>
      <c r="I3" s="48" t="s">
        <v>3</v>
      </c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</row>
    <row r="4" spans="1:176" ht="14.4" x14ac:dyDescent="0.3">
      <c r="A4" s="810" t="s">
        <v>115</v>
      </c>
      <c r="B4" s="806" t="s">
        <v>617</v>
      </c>
      <c r="C4" s="807"/>
      <c r="D4" s="807"/>
      <c r="E4" s="808"/>
      <c r="F4" s="807" t="s">
        <v>619</v>
      </c>
      <c r="G4" s="807"/>
      <c r="H4" s="807"/>
      <c r="I4" s="807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</row>
    <row r="5" spans="1:176" ht="50.4" customHeight="1" x14ac:dyDescent="0.3">
      <c r="A5" s="811"/>
      <c r="B5" s="799" t="s">
        <v>583</v>
      </c>
      <c r="C5" s="800"/>
      <c r="D5" s="800" t="s">
        <v>586</v>
      </c>
      <c r="E5" s="804"/>
      <c r="F5" s="799" t="s">
        <v>583</v>
      </c>
      <c r="G5" s="800"/>
      <c r="H5" s="809" t="s">
        <v>586</v>
      </c>
      <c r="I5" s="809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</row>
    <row r="6" spans="1:176" ht="12" customHeight="1" x14ac:dyDescent="0.3">
      <c r="A6" s="812"/>
      <c r="B6" s="721" t="s">
        <v>116</v>
      </c>
      <c r="C6" s="722" t="s">
        <v>117</v>
      </c>
      <c r="D6" s="722" t="s">
        <v>116</v>
      </c>
      <c r="E6" s="723" t="s">
        <v>117</v>
      </c>
      <c r="F6" s="722" t="s">
        <v>116</v>
      </c>
      <c r="G6" s="722" t="s">
        <v>117</v>
      </c>
      <c r="H6" s="722" t="s">
        <v>116</v>
      </c>
      <c r="I6" s="722" t="s">
        <v>117</v>
      </c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</row>
    <row r="7" spans="1:176" ht="14.1" customHeight="1" x14ac:dyDescent="0.3">
      <c r="A7" s="195" t="s">
        <v>444</v>
      </c>
      <c r="B7" s="337">
        <v>2.0440999999999998</v>
      </c>
      <c r="C7" s="338">
        <v>2.0444</v>
      </c>
      <c r="D7" s="338">
        <v>1.4522999999999999</v>
      </c>
      <c r="E7" s="339">
        <v>1.4733000000000001</v>
      </c>
      <c r="F7" s="338">
        <v>1.734</v>
      </c>
      <c r="G7" s="338">
        <v>1.7341</v>
      </c>
      <c r="H7" s="338">
        <v>0.94430000000000003</v>
      </c>
      <c r="I7" s="338">
        <v>0.95069999999999999</v>
      </c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</row>
    <row r="8" spans="1:176" ht="14.1" customHeight="1" x14ac:dyDescent="0.3">
      <c r="A8" s="195" t="s">
        <v>443</v>
      </c>
      <c r="B8" s="337">
        <v>2.5760000000000001</v>
      </c>
      <c r="C8" s="338">
        <v>2.5716999999999999</v>
      </c>
      <c r="D8" s="338">
        <v>1.3809</v>
      </c>
      <c r="E8" s="339">
        <v>1.3893</v>
      </c>
      <c r="F8" s="338">
        <v>2.5752999999999999</v>
      </c>
      <c r="G8" s="338">
        <v>2.5758000000000001</v>
      </c>
      <c r="H8" s="338">
        <v>1.5106999999999999</v>
      </c>
      <c r="I8" s="338">
        <v>1.5125</v>
      </c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</row>
    <row r="9" spans="1:176" ht="14.1" customHeight="1" thickBot="1" x14ac:dyDescent="0.35">
      <c r="A9" s="196" t="s">
        <v>442</v>
      </c>
      <c r="B9" s="340">
        <v>2.3975</v>
      </c>
      <c r="C9" s="341">
        <v>2.3946999999999998</v>
      </c>
      <c r="D9" s="341">
        <v>1.3992</v>
      </c>
      <c r="E9" s="342">
        <v>1.4108000000000001</v>
      </c>
      <c r="F9" s="341">
        <v>2.2008999999999999</v>
      </c>
      <c r="G9" s="341">
        <v>2.2012</v>
      </c>
      <c r="H9" s="341">
        <v>1.4588000000000001</v>
      </c>
      <c r="I9" s="341">
        <v>1.4611000000000001</v>
      </c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</row>
    <row r="10" spans="1:176" ht="14.4" x14ac:dyDescent="0.3">
      <c r="A10" s="805" t="s">
        <v>135</v>
      </c>
      <c r="B10" s="796"/>
      <c r="C10" s="796"/>
      <c r="D10" s="796"/>
      <c r="E10" s="796"/>
      <c r="F10" s="796"/>
      <c r="G10" s="796"/>
      <c r="H10" s="796"/>
      <c r="I10" s="796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</row>
  </sheetData>
  <mergeCells count="8">
    <mergeCell ref="A10:I10"/>
    <mergeCell ref="B4:E4"/>
    <mergeCell ref="F4:I4"/>
    <mergeCell ref="D5:E5"/>
    <mergeCell ref="H5:I5"/>
    <mergeCell ref="A4:A6"/>
    <mergeCell ref="B5:C5"/>
    <mergeCell ref="F5:G5"/>
  </mergeCells>
  <pageMargins left="0.7" right="0.7" top="0.75" bottom="0.75" header="0.3" footer="0.3"/>
  <pageSetup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87"/>
  <dimension ref="A1:FS13"/>
  <sheetViews>
    <sheetView showGridLines="0" topLeftCell="A2" zoomScaleNormal="100" workbookViewId="0">
      <selection activeCell="A3" sqref="A3"/>
    </sheetView>
  </sheetViews>
  <sheetFormatPr defaultColWidth="9.109375" defaultRowHeight="12" outlineLevelCol="1" x14ac:dyDescent="0.25"/>
  <cols>
    <col min="1" max="1" width="32.33203125" style="3" customWidth="1"/>
    <col min="2" max="9" width="7.44140625" style="3" customWidth="1"/>
    <col min="10" max="10" width="9.109375" style="3"/>
    <col min="11" max="13" width="5.77734375" style="3" customWidth="1"/>
    <col min="14" max="14" width="9.109375" style="3" hidden="1" customWidth="1" outlineLevel="1"/>
    <col min="15" max="15" width="9.109375" style="3" collapsed="1"/>
    <col min="16" max="16384" width="9.109375" style="3"/>
  </cols>
  <sheetData>
    <row r="1" spans="1:175" ht="14.4" hidden="1" x14ac:dyDescent="0.3">
      <c r="B1" s="22"/>
      <c r="C1" s="22"/>
      <c r="D1" s="22"/>
      <c r="E1" s="22"/>
      <c r="F1" s="22"/>
      <c r="G1" s="22"/>
      <c r="H1" s="22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</row>
    <row r="2" spans="1:175" ht="14.4" x14ac:dyDescent="0.3"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</row>
    <row r="3" spans="1:175" ht="15" customHeight="1" x14ac:dyDescent="0.3">
      <c r="A3" s="45" t="s">
        <v>272</v>
      </c>
      <c r="B3" s="45"/>
      <c r="C3" s="45"/>
      <c r="D3" s="45"/>
      <c r="E3" s="45"/>
      <c r="F3" s="45"/>
      <c r="G3" s="45"/>
      <c r="H3" s="45"/>
      <c r="I3" s="48" t="s">
        <v>3</v>
      </c>
      <c r="N3" s="813" t="str">
        <f>"Разлика износа на датум " &amp; F4 &amp;  " и износа на датум " &amp; B4 &amp; " (" &amp; I3 &amp; ")"</f>
        <v>Разлика износа на датум 03/2025. и износа на датум 2024. (%)</v>
      </c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</row>
    <row r="4" spans="1:175" ht="15" customHeight="1" x14ac:dyDescent="0.3">
      <c r="A4" s="810" t="s">
        <v>115</v>
      </c>
      <c r="B4" s="806" t="s">
        <v>617</v>
      </c>
      <c r="C4" s="807"/>
      <c r="D4" s="807"/>
      <c r="E4" s="808"/>
      <c r="F4" s="807" t="s">
        <v>619</v>
      </c>
      <c r="G4" s="807"/>
      <c r="H4" s="807"/>
      <c r="I4" s="807"/>
      <c r="N4" s="81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</row>
    <row r="5" spans="1:175" ht="37.799999999999997" customHeight="1" x14ac:dyDescent="0.3">
      <c r="A5" s="811"/>
      <c r="B5" s="799" t="s">
        <v>583</v>
      </c>
      <c r="C5" s="800"/>
      <c r="D5" s="800" t="s">
        <v>586</v>
      </c>
      <c r="E5" s="804"/>
      <c r="F5" s="799" t="s">
        <v>583</v>
      </c>
      <c r="G5" s="800"/>
      <c r="H5" s="809" t="s">
        <v>586</v>
      </c>
      <c r="I5" s="809"/>
      <c r="N5" s="579" t="s">
        <v>583</v>
      </c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</row>
    <row r="6" spans="1:175" ht="12" customHeight="1" x14ac:dyDescent="0.3">
      <c r="A6" s="812"/>
      <c r="B6" s="721" t="s">
        <v>116</v>
      </c>
      <c r="C6" s="722" t="s">
        <v>117</v>
      </c>
      <c r="D6" s="722" t="s">
        <v>116</v>
      </c>
      <c r="E6" s="723" t="s">
        <v>117</v>
      </c>
      <c r="F6" s="722" t="s">
        <v>116</v>
      </c>
      <c r="G6" s="722" t="s">
        <v>117</v>
      </c>
      <c r="H6" s="722" t="s">
        <v>116</v>
      </c>
      <c r="I6" s="722" t="s">
        <v>117</v>
      </c>
      <c r="N6" s="556" t="s">
        <v>116</v>
      </c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</row>
    <row r="7" spans="1:175" ht="24" x14ac:dyDescent="0.3">
      <c r="A7" s="197" t="s">
        <v>413</v>
      </c>
      <c r="B7" s="343"/>
      <c r="C7" s="344"/>
      <c r="D7" s="344"/>
      <c r="E7" s="345"/>
      <c r="F7" s="344"/>
      <c r="G7" s="344"/>
      <c r="H7" s="344"/>
      <c r="I7" s="344"/>
      <c r="N7" s="555">
        <f>ROUND(F7,2)-ROUND(B7,2)</f>
        <v>0</v>
      </c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</row>
    <row r="8" spans="1:175" ht="14.1" customHeight="1" x14ac:dyDescent="0.3">
      <c r="A8" s="198" t="s">
        <v>433</v>
      </c>
      <c r="B8" s="337">
        <v>7.6783999999999999</v>
      </c>
      <c r="C8" s="338">
        <v>8.5589999999999993</v>
      </c>
      <c r="D8" s="338">
        <v>6.0567000000000002</v>
      </c>
      <c r="E8" s="339">
        <v>6.3543000000000003</v>
      </c>
      <c r="F8" s="338">
        <v>7.5259999999999998</v>
      </c>
      <c r="G8" s="338">
        <v>8.3716000000000008</v>
      </c>
      <c r="H8" s="338">
        <v>5.6058000000000003</v>
      </c>
      <c r="I8" s="338">
        <v>5.9118000000000004</v>
      </c>
      <c r="N8" s="553">
        <f t="shared" ref="N8:N12" si="0">ROUND(F8,2)-ROUND(B8,2)</f>
        <v>-0.14999999999999947</v>
      </c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</row>
    <row r="9" spans="1:175" ht="14.1" customHeight="1" x14ac:dyDescent="0.3">
      <c r="A9" s="199" t="s">
        <v>597</v>
      </c>
      <c r="B9" s="346">
        <v>13.389799999999999</v>
      </c>
      <c r="C9" s="347">
        <v>15.7385</v>
      </c>
      <c r="D9" s="347">
        <v>13.571999999999999</v>
      </c>
      <c r="E9" s="348">
        <v>14.181699999999999</v>
      </c>
      <c r="F9" s="347">
        <v>13.239100000000001</v>
      </c>
      <c r="G9" s="347">
        <v>15.540100000000001</v>
      </c>
      <c r="H9" s="347">
        <v>13.4214</v>
      </c>
      <c r="I9" s="347">
        <v>14.0878</v>
      </c>
      <c r="N9" s="553">
        <f t="shared" si="0"/>
        <v>-0.15000000000000036</v>
      </c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</row>
    <row r="10" spans="1:175" ht="14.1" customHeight="1" x14ac:dyDescent="0.3">
      <c r="A10" s="197" t="s">
        <v>414</v>
      </c>
      <c r="B10" s="343"/>
      <c r="C10" s="344"/>
      <c r="D10" s="344"/>
      <c r="E10" s="345"/>
      <c r="F10" s="344"/>
      <c r="G10" s="344"/>
      <c r="H10" s="344"/>
      <c r="I10" s="344"/>
      <c r="N10" s="553">
        <f t="shared" si="0"/>
        <v>0</v>
      </c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</row>
    <row r="11" spans="1:175" ht="14.1" customHeight="1" x14ac:dyDescent="0.3">
      <c r="A11" s="198" t="s">
        <v>433</v>
      </c>
      <c r="B11" s="337">
        <v>1.44E-2</v>
      </c>
      <c r="C11" s="338">
        <v>1.44E-2</v>
      </c>
      <c r="D11" s="338">
        <v>8.0000000000000002E-3</v>
      </c>
      <c r="E11" s="339">
        <v>8.0000000000000002E-3</v>
      </c>
      <c r="F11" s="338">
        <v>1.2E-2</v>
      </c>
      <c r="G11" s="338">
        <v>1.2E-2</v>
      </c>
      <c r="H11" s="338">
        <v>1.0200000000000001E-2</v>
      </c>
      <c r="I11" s="338">
        <v>1.0200000000000001E-2</v>
      </c>
      <c r="N11" s="553">
        <f t="shared" si="0"/>
        <v>0</v>
      </c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</row>
    <row r="12" spans="1:175" ht="14.1" customHeight="1" thickBot="1" x14ac:dyDescent="0.35">
      <c r="A12" s="200" t="s">
        <v>598</v>
      </c>
      <c r="B12" s="349">
        <v>4.8999999999999998E-3</v>
      </c>
      <c r="C12" s="350">
        <v>4.8999999999999998E-3</v>
      </c>
      <c r="D12" s="350">
        <v>1.5599999999999999E-2</v>
      </c>
      <c r="E12" s="351">
        <v>1.5599999999999999E-2</v>
      </c>
      <c r="F12" s="350">
        <v>4.4999999999999997E-3</v>
      </c>
      <c r="G12" s="350">
        <v>4.4999999999999997E-3</v>
      </c>
      <c r="H12" s="350">
        <v>1.78E-2</v>
      </c>
      <c r="I12" s="350">
        <v>1.78E-2</v>
      </c>
      <c r="N12" s="554">
        <f t="shared" si="0"/>
        <v>0</v>
      </c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</row>
    <row r="13" spans="1:175" ht="14.4" x14ac:dyDescent="0.3">
      <c r="A13" s="201" t="s">
        <v>135</v>
      </c>
      <c r="B13" s="202"/>
      <c r="C13" s="202"/>
      <c r="D13" s="202"/>
      <c r="E13" s="202"/>
      <c r="F13" s="202"/>
      <c r="G13" s="202"/>
      <c r="H13" s="202"/>
      <c r="I13" s="202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</row>
  </sheetData>
  <mergeCells count="8">
    <mergeCell ref="N3:N4"/>
    <mergeCell ref="A4:A6"/>
    <mergeCell ref="H5:I5"/>
    <mergeCell ref="B4:E4"/>
    <mergeCell ref="F4:I4"/>
    <mergeCell ref="B5:C5"/>
    <mergeCell ref="D5:E5"/>
    <mergeCell ref="F5:G5"/>
  </mergeCells>
  <conditionalFormatting sqref="N7:N12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equal">
      <formula>0</formula>
    </cfRule>
  </conditionalFormatting>
  <pageMargins left="0.7" right="0.7" top="0.75" bottom="0.75" header="0.3" footer="0.3"/>
  <pageSetup paperSize="9" scale="94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93">
    <tabColor theme="0" tint="-4.9989318521683403E-2"/>
  </sheetPr>
  <dimension ref="A2:N69"/>
  <sheetViews>
    <sheetView showGridLines="0" topLeftCell="B1" zoomScaleNormal="100" workbookViewId="0">
      <selection activeCell="B2" sqref="B2"/>
    </sheetView>
  </sheetViews>
  <sheetFormatPr defaultRowHeight="14.4" x14ac:dyDescent="0.3"/>
  <cols>
    <col min="1" max="1" width="6.5546875" hidden="1" customWidth="1"/>
    <col min="2" max="2" width="45.5546875" customWidth="1"/>
    <col min="3" max="5" width="7.6640625" customWidth="1"/>
    <col min="6" max="6" width="8.6640625" customWidth="1"/>
    <col min="7" max="7" width="9.109375" style="44" hidden="1" customWidth="1"/>
    <col min="8" max="8" width="8.88671875" hidden="1" customWidth="1"/>
    <col min="9" max="9" width="9.109375" style="44" hidden="1" customWidth="1"/>
    <col min="10" max="10" width="8.6640625" style="278" hidden="1" customWidth="1"/>
    <col min="11" max="11" width="9.109375" style="44" hidden="1" customWidth="1"/>
    <col min="12" max="12" width="8.6640625" style="3" hidden="1" customWidth="1"/>
    <col min="13" max="13" width="9.109375" style="44" hidden="1" customWidth="1"/>
    <col min="14" max="14" width="8.6640625" style="3" hidden="1" customWidth="1"/>
  </cols>
  <sheetData>
    <row r="2" spans="2:14" x14ac:dyDescent="0.3">
      <c r="B2" s="45" t="s">
        <v>5</v>
      </c>
      <c r="C2" s="45"/>
      <c r="D2" s="45"/>
      <c r="E2" s="241"/>
      <c r="F2" s="241" t="s">
        <v>354</v>
      </c>
      <c r="G2"/>
    </row>
    <row r="3" spans="2:14" ht="19.2" customHeight="1" x14ac:dyDescent="0.3">
      <c r="B3" s="428" t="s">
        <v>10</v>
      </c>
      <c r="C3" s="431">
        <v>2023</v>
      </c>
      <c r="D3" s="428">
        <v>2024</v>
      </c>
      <c r="E3" s="432" t="s">
        <v>619</v>
      </c>
      <c r="F3" s="51" t="str">
        <f>IF(LEN(E3)&gt;5,"Индекс " &amp; MID(E3,1,2) &amp; "-" &amp; MID(E3,4,5) &amp; "/" &amp; D3,"Индекс " &amp; E3 &amp; "/" &amp; D3)</f>
        <v>Индекс 03-2025./2024</v>
      </c>
      <c r="G3"/>
      <c r="I3" s="817" t="s">
        <v>610</v>
      </c>
      <c r="J3" s="818"/>
      <c r="K3" s="817" t="s">
        <v>617</v>
      </c>
      <c r="L3" s="818"/>
      <c r="M3" s="817" t="s">
        <v>619</v>
      </c>
      <c r="N3" s="818"/>
    </row>
    <row r="4" spans="2:14" s="280" customFormat="1" ht="12" customHeight="1" x14ac:dyDescent="0.3">
      <c r="B4" s="427">
        <v>1</v>
      </c>
      <c r="C4" s="433">
        <v>2</v>
      </c>
      <c r="D4" s="427">
        <v>3</v>
      </c>
      <c r="E4" s="434">
        <v>4</v>
      </c>
      <c r="F4" s="435">
        <v>5</v>
      </c>
      <c r="I4" s="369" t="s">
        <v>211</v>
      </c>
      <c r="J4" s="370">
        <v>1188.3019999999999</v>
      </c>
      <c r="K4" s="364" t="s">
        <v>211</v>
      </c>
      <c r="L4" s="370">
        <v>1386.8430000000001</v>
      </c>
      <c r="M4" s="364" t="s">
        <v>211</v>
      </c>
      <c r="N4" s="370">
        <v>1429.018</v>
      </c>
    </row>
    <row r="5" spans="2:14" ht="12.45" customHeight="1" x14ac:dyDescent="0.3">
      <c r="B5" s="429" t="s">
        <v>32</v>
      </c>
      <c r="C5" s="439">
        <f>IFERROR(VLOOKUP($G5,I$4:J$42,2,FALSE),0)</f>
        <v>1188.3019999999999</v>
      </c>
      <c r="D5" s="439">
        <f>IFERROR(VLOOKUP($G5,K$4:L$42,2,FALSE),0)</f>
        <v>1386.8430000000001</v>
      </c>
      <c r="E5" s="439">
        <f>IFERROR(VLOOKUP($G5,M$4:N$42,2,FALSE),0)</f>
        <v>1429.018</v>
      </c>
      <c r="F5" s="436">
        <f t="shared" ref="F5:F7" si="0">IF(ROUND(D5,1)&gt;0,E5*100/D5,"-")</f>
        <v>103.04107963194102</v>
      </c>
      <c r="G5" s="44" t="s">
        <v>211</v>
      </c>
      <c r="I5" s="364" t="s">
        <v>212</v>
      </c>
      <c r="J5" s="371">
        <v>1130.0150000000001</v>
      </c>
      <c r="K5" s="44" t="s">
        <v>212</v>
      </c>
      <c r="L5" s="371">
        <v>1309.855</v>
      </c>
      <c r="M5" s="364" t="s">
        <v>212</v>
      </c>
      <c r="N5" s="371">
        <v>1360.0319999999999</v>
      </c>
    </row>
    <row r="6" spans="2:14" ht="12.45" customHeight="1" x14ac:dyDescent="0.3">
      <c r="B6" s="430" t="s">
        <v>34</v>
      </c>
      <c r="C6" s="440">
        <f>IFERROR(VLOOKUP($G6,I$4:J$42,2,FALSE),0)</f>
        <v>1130.0150000000001</v>
      </c>
      <c r="D6" s="440">
        <f>IFERROR(VLOOKUP($G6,K$4:L$42,2,FALSE),0)</f>
        <v>1309.855</v>
      </c>
      <c r="E6" s="440">
        <f>IFERROR(VLOOKUP($G6,M$4:N$42,2,FALSE),0)</f>
        <v>1360.0319999999999</v>
      </c>
      <c r="F6" s="437">
        <f t="shared" si="0"/>
        <v>103.83072935553933</v>
      </c>
      <c r="G6" s="44" t="s">
        <v>212</v>
      </c>
      <c r="I6" s="364" t="s">
        <v>213</v>
      </c>
      <c r="J6" s="371">
        <v>1124.0150000000001</v>
      </c>
      <c r="K6" s="44" t="s">
        <v>213</v>
      </c>
      <c r="L6" s="371">
        <v>1303.855</v>
      </c>
      <c r="M6" s="364" t="s">
        <v>213</v>
      </c>
      <c r="N6" s="371">
        <v>1354.0319999999999</v>
      </c>
    </row>
    <row r="7" spans="2:14" ht="12.45" customHeight="1" x14ac:dyDescent="0.3">
      <c r="B7" s="570" t="s">
        <v>546</v>
      </c>
      <c r="C7" s="441">
        <f>IFERROR(VLOOKUP($G7,I$4:J$42,2,FALSE),0)</f>
        <v>1124.0150000000001</v>
      </c>
      <c r="D7" s="441">
        <f>IFERROR(VLOOKUP($G7,K$4:L$42,2,FALSE),0)</f>
        <v>1303.855</v>
      </c>
      <c r="E7" s="441">
        <f>IFERROR(VLOOKUP($G7,M$4:N$42,2,FALSE),0)</f>
        <v>1354.0319999999999</v>
      </c>
      <c r="F7" s="452">
        <f t="shared" si="0"/>
        <v>103.84835737102667</v>
      </c>
      <c r="G7" s="44" t="s">
        <v>213</v>
      </c>
      <c r="I7" s="364" t="s">
        <v>214</v>
      </c>
      <c r="J7" s="371">
        <v>711.38900000000001</v>
      </c>
      <c r="K7" s="44" t="s">
        <v>214</v>
      </c>
      <c r="L7" s="371">
        <v>716.68299999999999</v>
      </c>
      <c r="M7" s="364" t="s">
        <v>214</v>
      </c>
      <c r="N7" s="371">
        <v>717.89700000000005</v>
      </c>
    </row>
    <row r="8" spans="2:14" ht="12.45" customHeight="1" x14ac:dyDescent="0.3">
      <c r="B8" s="571" t="s">
        <v>537</v>
      </c>
      <c r="C8" s="442">
        <f>+SUM(C9:C14)</f>
        <v>1168.461</v>
      </c>
      <c r="D8" s="442">
        <f t="shared" ref="D8:E8" si="1">+SUM(D9:D14)</f>
        <v>1325.0089999999998</v>
      </c>
      <c r="E8" s="442">
        <f t="shared" si="1"/>
        <v>1373.4579999999999</v>
      </c>
      <c r="F8" s="95">
        <f t="shared" ref="F8:F17" si="2">IF(ROUND(D8,1)&gt;0,E8*100/D8,"-")</f>
        <v>103.65650346525949</v>
      </c>
      <c r="I8" s="364" t="s">
        <v>215</v>
      </c>
      <c r="J8" s="371">
        <v>695.64099999999996</v>
      </c>
      <c r="K8" s="44" t="s">
        <v>215</v>
      </c>
      <c r="L8" s="371">
        <v>700.64099999999996</v>
      </c>
      <c r="M8" s="364" t="s">
        <v>215</v>
      </c>
      <c r="N8" s="371">
        <v>700.64099999999996</v>
      </c>
    </row>
    <row r="9" spans="2:14" ht="12.45" customHeight="1" x14ac:dyDescent="0.3">
      <c r="B9" s="572" t="s">
        <v>612</v>
      </c>
      <c r="C9" s="443">
        <f t="shared" ref="C9:C14" si="3">IFERROR(VLOOKUP($G9,I$4:J$42,2,FALSE),0)</f>
        <v>695.64099999999996</v>
      </c>
      <c r="D9" s="443">
        <f t="shared" ref="D9:D14" si="4">IFERROR(VLOOKUP($G9,K$4:L$42,2,FALSE),0)</f>
        <v>700.64099999999996</v>
      </c>
      <c r="E9" s="443">
        <f t="shared" ref="E9:E14" si="5">IFERROR(VLOOKUP($G9,M$4:N$42,2,FALSE),0)</f>
        <v>700.64099999999996</v>
      </c>
      <c r="F9" s="47">
        <f t="shared" si="2"/>
        <v>99.999999999999986</v>
      </c>
      <c r="G9" s="44" t="s">
        <v>215</v>
      </c>
      <c r="I9" s="364" t="s">
        <v>216</v>
      </c>
      <c r="J9" s="371">
        <v>1.446</v>
      </c>
      <c r="K9" s="44" t="s">
        <v>216</v>
      </c>
      <c r="L9" s="371">
        <v>1.446</v>
      </c>
      <c r="M9" s="364" t="s">
        <v>216</v>
      </c>
      <c r="N9" s="371">
        <v>1.446</v>
      </c>
    </row>
    <row r="10" spans="2:14" ht="12.45" customHeight="1" x14ac:dyDescent="0.3">
      <c r="B10" s="572" t="s">
        <v>219</v>
      </c>
      <c r="C10" s="443">
        <f t="shared" si="3"/>
        <v>17.256</v>
      </c>
      <c r="D10" s="443">
        <f t="shared" si="4"/>
        <v>17.256</v>
      </c>
      <c r="E10" s="443">
        <f t="shared" si="5"/>
        <v>17.256</v>
      </c>
      <c r="F10" s="47">
        <f>IF(ROUND(D10,1)&gt;0,E10*100/D10,"-")</f>
        <v>100</v>
      </c>
      <c r="G10" s="44" t="s">
        <v>217</v>
      </c>
      <c r="I10" s="364" t="s">
        <v>217</v>
      </c>
      <c r="J10" s="371">
        <v>17.256</v>
      </c>
      <c r="K10" s="44" t="s">
        <v>217</v>
      </c>
      <c r="L10" s="371">
        <v>17.256</v>
      </c>
      <c r="M10" s="364" t="s">
        <v>217</v>
      </c>
      <c r="N10" s="371">
        <v>17.256</v>
      </c>
    </row>
    <row r="11" spans="2:14" ht="12.45" customHeight="1" x14ac:dyDescent="0.3">
      <c r="B11" s="572" t="s">
        <v>613</v>
      </c>
      <c r="C11" s="443">
        <f t="shared" si="3"/>
        <v>270.72899999999998</v>
      </c>
      <c r="D11" s="443">
        <f t="shared" si="4"/>
        <v>373.75299999999999</v>
      </c>
      <c r="E11" s="443">
        <f t="shared" si="5"/>
        <v>420.90600000000001</v>
      </c>
      <c r="F11" s="47">
        <f t="shared" si="2"/>
        <v>112.61608602472757</v>
      </c>
      <c r="G11" s="44" t="s">
        <v>226</v>
      </c>
      <c r="I11" s="364" t="s">
        <v>218</v>
      </c>
      <c r="J11" s="371">
        <v>-1.508</v>
      </c>
      <c r="K11" s="44" t="s">
        <v>218</v>
      </c>
      <c r="L11" s="371">
        <v>-1.2150000000000001</v>
      </c>
      <c r="M11" s="364" t="s">
        <v>218</v>
      </c>
      <c r="N11" s="371">
        <v>0</v>
      </c>
    </row>
    <row r="12" spans="2:14" ht="12.45" customHeight="1" x14ac:dyDescent="0.3">
      <c r="B12" s="572" t="s">
        <v>614</v>
      </c>
      <c r="C12" s="443">
        <f t="shared" si="3"/>
        <v>64.716999999999999</v>
      </c>
      <c r="D12" s="443">
        <f t="shared" si="4"/>
        <v>99.951999999999998</v>
      </c>
      <c r="E12" s="443">
        <f t="shared" si="5"/>
        <v>99.951999999999998</v>
      </c>
      <c r="F12" s="47">
        <f t="shared" si="2"/>
        <v>100.00000000000001</v>
      </c>
      <c r="G12" s="44" t="s">
        <v>227</v>
      </c>
      <c r="I12" s="364" t="s">
        <v>222</v>
      </c>
      <c r="J12" s="371">
        <v>-1.508</v>
      </c>
      <c r="K12" s="44" t="s">
        <v>222</v>
      </c>
      <c r="L12" s="371">
        <v>-1.2150000000000001</v>
      </c>
      <c r="M12" s="364" t="s">
        <v>222</v>
      </c>
      <c r="N12" s="371">
        <v>0</v>
      </c>
    </row>
    <row r="13" spans="2:14" ht="12.45" customHeight="1" x14ac:dyDescent="0.3">
      <c r="B13" s="572" t="s">
        <v>538</v>
      </c>
      <c r="C13" s="443">
        <f t="shared" si="3"/>
        <v>-17.285</v>
      </c>
      <c r="D13" s="443">
        <f t="shared" si="4"/>
        <v>-9.9</v>
      </c>
      <c r="E13" s="443">
        <f t="shared" si="5"/>
        <v>-8.7029999999999994</v>
      </c>
      <c r="F13" s="47" t="str">
        <f t="shared" si="2"/>
        <v>-</v>
      </c>
      <c r="G13" s="44" t="s">
        <v>230</v>
      </c>
      <c r="I13" s="364" t="s">
        <v>224</v>
      </c>
      <c r="J13" s="371">
        <v>0</v>
      </c>
      <c r="K13" s="44" t="s">
        <v>224</v>
      </c>
      <c r="L13" s="371">
        <v>0</v>
      </c>
      <c r="M13" s="364" t="s">
        <v>224</v>
      </c>
      <c r="N13" s="371">
        <v>0</v>
      </c>
    </row>
    <row r="14" spans="2:14" ht="12.45" customHeight="1" x14ac:dyDescent="0.3">
      <c r="B14" s="572" t="s">
        <v>539</v>
      </c>
      <c r="C14" s="443">
        <f t="shared" si="3"/>
        <v>137.40299999999999</v>
      </c>
      <c r="D14" s="443">
        <f t="shared" si="4"/>
        <v>143.30699999999999</v>
      </c>
      <c r="E14" s="443">
        <f t="shared" si="5"/>
        <v>143.40600000000001</v>
      </c>
      <c r="F14" s="47">
        <f t="shared" si="2"/>
        <v>100.06908245933556</v>
      </c>
      <c r="G14" s="44" t="s">
        <v>232</v>
      </c>
      <c r="I14" s="364" t="s">
        <v>225</v>
      </c>
      <c r="J14" s="371">
        <v>335.44600000000003</v>
      </c>
      <c r="K14" s="44" t="s">
        <v>225</v>
      </c>
      <c r="L14" s="371">
        <v>473.70499999999998</v>
      </c>
      <c r="M14" s="364" t="s">
        <v>225</v>
      </c>
      <c r="N14" s="371">
        <v>520.85799999999995</v>
      </c>
    </row>
    <row r="15" spans="2:14" ht="12.45" customHeight="1" x14ac:dyDescent="0.3">
      <c r="B15" s="571" t="s">
        <v>540</v>
      </c>
      <c r="C15" s="445">
        <f>C7-C8</f>
        <v>-44.445999999999913</v>
      </c>
      <c r="D15" s="445">
        <f t="shared" ref="D15:E15" si="6">D7-D8</f>
        <v>-21.153999999999769</v>
      </c>
      <c r="E15" s="445">
        <f t="shared" si="6"/>
        <v>-19.425999999999931</v>
      </c>
      <c r="F15" s="95" t="str">
        <f t="shared" si="2"/>
        <v>-</v>
      </c>
      <c r="G15"/>
      <c r="I15" s="364" t="s">
        <v>226</v>
      </c>
      <c r="J15" s="371">
        <v>270.72899999999998</v>
      </c>
      <c r="K15" s="44" t="s">
        <v>226</v>
      </c>
      <c r="L15" s="371">
        <v>373.75299999999999</v>
      </c>
      <c r="M15" s="364" t="s">
        <v>226</v>
      </c>
      <c r="N15" s="371">
        <v>420.90600000000001</v>
      </c>
    </row>
    <row r="16" spans="2:14" ht="12.45" customHeight="1" x14ac:dyDescent="0.3">
      <c r="B16" s="572" t="s">
        <v>545</v>
      </c>
      <c r="C16" s="443">
        <f>IFERROR(VLOOKUP($G16,I$4:J$42,2,FALSE),0)</f>
        <v>-24.536000000000001</v>
      </c>
      <c r="D16" s="443">
        <f>IFERROR(VLOOKUP($G16,K$4:L$42,2,FALSE),0)</f>
        <v>-13.422000000000001</v>
      </c>
      <c r="E16" s="443">
        <f>IFERROR(VLOOKUP($G16,M$4:N$42,2,FALSE),0)</f>
        <v>-12.9</v>
      </c>
      <c r="F16" s="47" t="str">
        <f t="shared" si="2"/>
        <v>-</v>
      </c>
      <c r="G16" s="44" t="s">
        <v>236</v>
      </c>
      <c r="I16" s="364" t="s">
        <v>227</v>
      </c>
      <c r="J16" s="371">
        <v>64.716999999999999</v>
      </c>
      <c r="K16" s="44" t="s">
        <v>227</v>
      </c>
      <c r="L16" s="371">
        <v>99.951999999999998</v>
      </c>
      <c r="M16" s="364" t="s">
        <v>227</v>
      </c>
      <c r="N16" s="371">
        <v>99.951999999999998</v>
      </c>
    </row>
    <row r="17" spans="2:14" ht="12.45" customHeight="1" x14ac:dyDescent="0.3">
      <c r="B17" s="258" t="s">
        <v>541</v>
      </c>
      <c r="C17" s="443">
        <f>IFERROR(VLOOKUP($G17,I$4:J$43,2,FALSE),0)+IFERROR(VLOOKUP($H17,I$4:J$43,2,FALSE),0)</f>
        <v>-7.3960000000000008</v>
      </c>
      <c r="D17" s="443">
        <f>IFERROR(VLOOKUP($G17,K$4:L$43,2,FALSE),0)+IFERROR(VLOOKUP($H17,K$4:L$43,2,FALSE),0)</f>
        <v>-6.5169999999999995</v>
      </c>
      <c r="E17" s="443">
        <f>IFERROR(VLOOKUP($G17,M$4:N$43,2,FALSE),0)+IFERROR(VLOOKUP($H17,M$4:N$43,2,FALSE),0)</f>
        <v>-6.5259999999999998</v>
      </c>
      <c r="F17" s="47" t="str">
        <f t="shared" si="2"/>
        <v>-</v>
      </c>
      <c r="G17" s="44" t="s">
        <v>239</v>
      </c>
      <c r="H17" s="44" t="s">
        <v>241</v>
      </c>
      <c r="I17" s="364" t="s">
        <v>228</v>
      </c>
      <c r="J17" s="371">
        <v>66.784999999999997</v>
      </c>
      <c r="K17" s="44" t="s">
        <v>228</v>
      </c>
      <c r="L17" s="371">
        <v>102.17100000000001</v>
      </c>
      <c r="M17" s="364" t="s">
        <v>228</v>
      </c>
      <c r="N17" s="371">
        <v>102.206</v>
      </c>
    </row>
    <row r="18" spans="2:14" ht="12.45" customHeight="1" x14ac:dyDescent="0.3">
      <c r="B18" s="258" t="s">
        <v>542</v>
      </c>
      <c r="C18" s="443">
        <f>C15-(C16+C17)</f>
        <v>-12.513999999999911</v>
      </c>
      <c r="D18" s="443">
        <f>D15-(D16+D17)</f>
        <v>-1.2149999999997689</v>
      </c>
      <c r="E18" s="443">
        <f>E15-(E16+E17)</f>
        <v>7.1054273576010019E-14</v>
      </c>
      <c r="F18" s="47" t="str">
        <f>IF(ROUND(D18,1)&gt;0,E18*100/D18,"-")</f>
        <v>-</v>
      </c>
      <c r="I18" s="364" t="s">
        <v>229</v>
      </c>
      <c r="J18" s="371">
        <v>-2.0680000000000001</v>
      </c>
      <c r="K18" s="44" t="s">
        <v>229</v>
      </c>
      <c r="L18" s="371">
        <v>-2.2189999999999999</v>
      </c>
      <c r="M18" s="364" t="s">
        <v>229</v>
      </c>
      <c r="N18" s="371">
        <v>-2.254</v>
      </c>
    </row>
    <row r="19" spans="2:14" ht="12.45" customHeight="1" x14ac:dyDescent="0.3">
      <c r="B19" s="570" t="s">
        <v>245</v>
      </c>
      <c r="C19" s="441">
        <f>IFERROR(VLOOKUP($G19,I$4:J$42,2,FALSE),0)</f>
        <v>6</v>
      </c>
      <c r="D19" s="441">
        <f>IFERROR(VLOOKUP($G19,K$4:L$42,2,FALSE),0)</f>
        <v>6</v>
      </c>
      <c r="E19" s="441">
        <f>IFERROR(VLOOKUP($G19,K$4:L$42,2,FALSE),0)</f>
        <v>6</v>
      </c>
      <c r="F19" s="452">
        <f t="shared" ref="F19:F26" si="7">IF(ROUND(D19,1)&gt;0,E19*100/D19,"-")</f>
        <v>100</v>
      </c>
      <c r="G19" s="44" t="s">
        <v>243</v>
      </c>
      <c r="I19" s="364" t="s">
        <v>230</v>
      </c>
      <c r="J19" s="371">
        <v>-17.285</v>
      </c>
      <c r="K19" s="44" t="s">
        <v>230</v>
      </c>
      <c r="L19" s="371">
        <v>-9.9</v>
      </c>
      <c r="M19" s="364" t="s">
        <v>230</v>
      </c>
      <c r="N19" s="371">
        <v>-8.7029999999999994</v>
      </c>
    </row>
    <row r="20" spans="2:14" ht="24" x14ac:dyDescent="0.3">
      <c r="B20" s="258" t="s">
        <v>615</v>
      </c>
      <c r="C20" s="444">
        <f>IFERROR(VLOOKUP($G20,I$4:J$42,2,FALSE),0)</f>
        <v>6</v>
      </c>
      <c r="D20" s="444">
        <f>IFERROR(VLOOKUP($G20,K$4:L$42,2,FALSE),0)</f>
        <v>6</v>
      </c>
      <c r="E20" s="444">
        <f>IFERROR(VLOOKUP($G20,M$4:N$42,2,FALSE),0)</f>
        <v>6</v>
      </c>
      <c r="F20" s="47">
        <f t="shared" si="7"/>
        <v>100</v>
      </c>
      <c r="G20" s="44" t="s">
        <v>244</v>
      </c>
      <c r="I20" s="364" t="s">
        <v>232</v>
      </c>
      <c r="J20" s="371">
        <v>137.40299999999999</v>
      </c>
      <c r="K20" s="44" t="s">
        <v>232</v>
      </c>
      <c r="L20" s="371">
        <v>143.30699999999999</v>
      </c>
      <c r="M20" s="364" t="s">
        <v>232</v>
      </c>
      <c r="N20" s="371">
        <v>143.40600000000001</v>
      </c>
    </row>
    <row r="21" spans="2:14" ht="12.45" customHeight="1" x14ac:dyDescent="0.3">
      <c r="B21" s="258" t="s">
        <v>543</v>
      </c>
      <c r="C21" s="444">
        <f>C19-C20</f>
        <v>0</v>
      </c>
      <c r="D21" s="444">
        <f t="shared" ref="D21:E21" si="8">D19-D20</f>
        <v>0</v>
      </c>
      <c r="E21" s="444">
        <f t="shared" si="8"/>
        <v>0</v>
      </c>
      <c r="F21" s="47" t="str">
        <f t="shared" si="7"/>
        <v>-</v>
      </c>
      <c r="G21"/>
      <c r="I21" s="364" t="s">
        <v>236</v>
      </c>
      <c r="J21" s="371">
        <v>-24.536000000000001</v>
      </c>
      <c r="K21" s="44" t="s">
        <v>236</v>
      </c>
      <c r="L21" s="371">
        <v>-13.422000000000001</v>
      </c>
      <c r="M21" s="364" t="s">
        <v>236</v>
      </c>
      <c r="N21" s="371">
        <v>-12.9</v>
      </c>
    </row>
    <row r="22" spans="2:14" ht="12.45" customHeight="1" x14ac:dyDescent="0.3">
      <c r="B22" s="573" t="s">
        <v>250</v>
      </c>
      <c r="C22" s="451">
        <f>IFERROR(VLOOKUP($G22,I$4:J$42,2,FALSE),0)</f>
        <v>58.287999999999997</v>
      </c>
      <c r="D22" s="451">
        <f>IFERROR(VLOOKUP($G22,K$4:L$42,2,FALSE),0)</f>
        <v>76.986999999999995</v>
      </c>
      <c r="E22" s="451">
        <f>IFERROR(VLOOKUP($G22,M$4:N$42,2,FALSE),0)</f>
        <v>68.986000000000004</v>
      </c>
      <c r="F22" s="437">
        <f t="shared" si="7"/>
        <v>89.607336303531781</v>
      </c>
      <c r="G22" s="44" t="s">
        <v>248</v>
      </c>
      <c r="I22" s="364" t="s">
        <v>238</v>
      </c>
      <c r="J22" s="371">
        <v>-24.536000000000001</v>
      </c>
      <c r="K22" s="44" t="s">
        <v>238</v>
      </c>
      <c r="L22" s="371">
        <v>-13.422000000000001</v>
      </c>
      <c r="M22" s="364" t="s">
        <v>238</v>
      </c>
      <c r="N22" s="371">
        <v>-12.9</v>
      </c>
    </row>
    <row r="23" spans="2:14" ht="24" x14ac:dyDescent="0.3">
      <c r="B23" s="572" t="s">
        <v>616</v>
      </c>
      <c r="C23" s="443">
        <f>IFERROR(VLOOKUP($G23,I$4:J$42,2,FALSE),0)</f>
        <v>58.287999999999997</v>
      </c>
      <c r="D23" s="443">
        <f>IFERROR(VLOOKUP($G23,K$4:L$42,2,FALSE),0)</f>
        <v>76.986999999999995</v>
      </c>
      <c r="E23" s="443">
        <f>IFERROR(VLOOKUP($G23,M$4:N$42,2,FALSE),0)</f>
        <v>68.986000000000004</v>
      </c>
      <c r="F23" s="47">
        <f t="shared" si="7"/>
        <v>89.607336303531781</v>
      </c>
      <c r="G23" s="44" t="s">
        <v>249</v>
      </c>
      <c r="I23" s="364" t="s">
        <v>239</v>
      </c>
      <c r="J23" s="371">
        <v>-3.45</v>
      </c>
      <c r="K23" s="44" t="s">
        <v>604</v>
      </c>
      <c r="L23" s="371">
        <v>-9.3680000000000003</v>
      </c>
      <c r="M23" s="364" t="s">
        <v>604</v>
      </c>
      <c r="N23" s="371">
        <v>-9.218</v>
      </c>
    </row>
    <row r="24" spans="2:14" ht="24" x14ac:dyDescent="0.3">
      <c r="B24" s="572" t="s">
        <v>606</v>
      </c>
      <c r="C24" s="443">
        <f>IFERROR(VLOOKUP($G24,I$4:J$42,2,FALSE),0)</f>
        <v>0</v>
      </c>
      <c r="D24" s="443">
        <f>IFERROR(VLOOKUP($G24,K$4:L$42,2,FALSE),0)</f>
        <v>0</v>
      </c>
      <c r="E24" s="443">
        <f>IFERROR(VLOOKUP($G24,M$4:N$42,2,FALSE),0)</f>
        <v>0</v>
      </c>
      <c r="F24" s="47" t="str">
        <f>IF(ROUND(D24,1)&gt;0,E24*100/D24,"-")</f>
        <v>-</v>
      </c>
      <c r="G24" s="548" t="s">
        <v>251</v>
      </c>
      <c r="I24" s="364" t="s">
        <v>240</v>
      </c>
      <c r="J24" s="371">
        <v>0</v>
      </c>
      <c r="K24" s="44" t="s">
        <v>239</v>
      </c>
      <c r="L24" s="371">
        <v>-3.08</v>
      </c>
      <c r="M24" s="364" t="s">
        <v>239</v>
      </c>
      <c r="N24" s="371">
        <v>-2.9580000000000002</v>
      </c>
    </row>
    <row r="25" spans="2:14" x14ac:dyDescent="0.3">
      <c r="B25" s="572" t="s">
        <v>548</v>
      </c>
      <c r="C25" s="443">
        <f>IFERROR(VLOOKUP($G25,I$4:J$42,2,FALSE),0)</f>
        <v>0</v>
      </c>
      <c r="D25" s="443">
        <f>IFERROR(VLOOKUP($G25,K$4:L$42,2,FALSE),0)</f>
        <v>0</v>
      </c>
      <c r="E25" s="443">
        <f>IFERROR(VLOOKUP($G25,M$4:N$42,2,FALSE),0)</f>
        <v>0</v>
      </c>
      <c r="F25" s="47" t="str">
        <f>IF(ROUND(D25,1)&gt;0,E25*100/D25,"-")</f>
        <v>-</v>
      </c>
      <c r="G25" s="44" t="s">
        <v>252</v>
      </c>
      <c r="I25" s="364" t="s">
        <v>241</v>
      </c>
      <c r="J25" s="371">
        <v>-3.9460000000000002</v>
      </c>
      <c r="K25" s="44" t="s">
        <v>240</v>
      </c>
      <c r="L25" s="371">
        <v>0</v>
      </c>
      <c r="M25" s="364" t="s">
        <v>240</v>
      </c>
      <c r="N25" s="371">
        <v>0</v>
      </c>
    </row>
    <row r="26" spans="2:14" ht="12.45" customHeight="1" thickBot="1" x14ac:dyDescent="0.35">
      <c r="B26" s="574" t="s">
        <v>544</v>
      </c>
      <c r="C26" s="446">
        <f>IFERROR(VLOOKUP($G26,I$4:J$42,2,FALSE),0)+IFERROR(VLOOKUP($H26,I$4:J$42,2,FALSE),0)</f>
        <v>0</v>
      </c>
      <c r="D26" s="446">
        <f>IFERROR(VLOOKUP($G26,K$4:L$42,2,FALSE),0)+IFERROR(VLOOKUP($H26,K$4:L$42,2,FALSE),0)</f>
        <v>0</v>
      </c>
      <c r="E26" s="446">
        <f>IFERROR(VLOOKUP($G26,M$4:N$42,2,FALSE),0)+IFERROR(VLOOKUP($H26,M$4:N$42,2,FALSE),0)</f>
        <v>0</v>
      </c>
      <c r="F26" s="453" t="str">
        <f t="shared" si="7"/>
        <v>-</v>
      </c>
      <c r="G26" s="44" t="s">
        <v>253</v>
      </c>
      <c r="H26" s="44" t="s">
        <v>254</v>
      </c>
      <c r="I26" s="364" t="s">
        <v>242</v>
      </c>
      <c r="J26" s="371">
        <v>-11.007</v>
      </c>
      <c r="K26" s="44" t="s">
        <v>241</v>
      </c>
      <c r="L26" s="371">
        <v>-3.4369999999999998</v>
      </c>
      <c r="M26" s="364" t="s">
        <v>241</v>
      </c>
      <c r="N26" s="371">
        <v>-3.5680000000000001</v>
      </c>
    </row>
    <row r="27" spans="2:14" ht="24.75" customHeight="1" x14ac:dyDescent="0.3">
      <c r="G27" s="450" t="s">
        <v>550</v>
      </c>
      <c r="H27" s="450" t="s">
        <v>549</v>
      </c>
      <c r="I27" s="364" t="s">
        <v>243</v>
      </c>
      <c r="J27" s="371">
        <v>6</v>
      </c>
      <c r="K27" s="44" t="s">
        <v>242</v>
      </c>
      <c r="L27" s="371">
        <v>0</v>
      </c>
      <c r="M27" s="364" t="s">
        <v>242</v>
      </c>
      <c r="N27" s="371">
        <v>0</v>
      </c>
    </row>
    <row r="28" spans="2:14" x14ac:dyDescent="0.3">
      <c r="B28" s="547"/>
      <c r="G28" s="548"/>
      <c r="I28" s="364" t="s">
        <v>244</v>
      </c>
      <c r="J28" s="371">
        <v>6</v>
      </c>
      <c r="K28" s="44" t="s">
        <v>243</v>
      </c>
      <c r="L28" s="371">
        <v>6</v>
      </c>
      <c r="M28" s="364" t="s">
        <v>243</v>
      </c>
      <c r="N28" s="371">
        <v>6</v>
      </c>
    </row>
    <row r="29" spans="2:14" x14ac:dyDescent="0.3">
      <c r="G29"/>
      <c r="I29" s="364" t="s">
        <v>625</v>
      </c>
      <c r="J29" s="371">
        <v>6</v>
      </c>
      <c r="K29" s="361" t="s">
        <v>244</v>
      </c>
      <c r="L29" s="371">
        <v>6</v>
      </c>
      <c r="M29" s="365" t="s">
        <v>244</v>
      </c>
      <c r="N29" s="371">
        <v>6</v>
      </c>
    </row>
    <row r="30" spans="2:14" x14ac:dyDescent="0.3">
      <c r="G30"/>
      <c r="I30" s="364" t="s">
        <v>246</v>
      </c>
      <c r="J30" s="371">
        <v>0</v>
      </c>
      <c r="K30" s="361" t="s">
        <v>625</v>
      </c>
      <c r="L30" s="371">
        <v>6</v>
      </c>
      <c r="M30" s="365" t="s">
        <v>625</v>
      </c>
      <c r="N30" s="371">
        <v>6</v>
      </c>
    </row>
    <row r="31" spans="2:14" x14ac:dyDescent="0.3">
      <c r="I31" s="364" t="s">
        <v>247</v>
      </c>
      <c r="J31" s="371">
        <v>0</v>
      </c>
      <c r="K31" s="44" t="s">
        <v>246</v>
      </c>
      <c r="L31" s="371">
        <v>0</v>
      </c>
      <c r="M31" s="364" t="s">
        <v>246</v>
      </c>
      <c r="N31" s="371">
        <v>0</v>
      </c>
    </row>
    <row r="32" spans="2:14" x14ac:dyDescent="0.3">
      <c r="I32" s="364" t="s">
        <v>248</v>
      </c>
      <c r="J32" s="371">
        <v>58.287999999999997</v>
      </c>
      <c r="K32" s="44" t="s">
        <v>247</v>
      </c>
      <c r="L32" s="371">
        <v>0</v>
      </c>
      <c r="M32" s="364" t="s">
        <v>247</v>
      </c>
      <c r="N32" s="371">
        <v>0</v>
      </c>
    </row>
    <row r="33" spans="1:14" ht="15" customHeight="1" x14ac:dyDescent="0.3">
      <c r="I33" s="364" t="s">
        <v>249</v>
      </c>
      <c r="J33" s="371">
        <v>58.287999999999997</v>
      </c>
      <c r="K33" s="44" t="s">
        <v>248</v>
      </c>
      <c r="L33" s="371">
        <v>76.986999999999995</v>
      </c>
      <c r="M33" s="364" t="s">
        <v>248</v>
      </c>
      <c r="N33" s="371">
        <v>68.986000000000004</v>
      </c>
    </row>
    <row r="34" spans="1:14" ht="15" customHeight="1" x14ac:dyDescent="0.3">
      <c r="G34"/>
      <c r="I34" s="364" t="s">
        <v>626</v>
      </c>
      <c r="J34" s="371">
        <v>58.287999999999997</v>
      </c>
      <c r="K34" s="44" t="s">
        <v>249</v>
      </c>
      <c r="L34" s="371">
        <v>76.986999999999995</v>
      </c>
      <c r="M34" s="364" t="s">
        <v>249</v>
      </c>
      <c r="N34" s="371">
        <v>68.986000000000004</v>
      </c>
    </row>
    <row r="35" spans="1:14" ht="15" customHeight="1" x14ac:dyDescent="0.3">
      <c r="G35"/>
      <c r="I35" s="364" t="s">
        <v>252</v>
      </c>
      <c r="J35" s="371">
        <v>0</v>
      </c>
      <c r="K35" s="44" t="s">
        <v>626</v>
      </c>
      <c r="L35" s="371">
        <v>76.986999999999995</v>
      </c>
      <c r="M35" s="364" t="s">
        <v>626</v>
      </c>
      <c r="N35" s="371">
        <v>68.986000000000004</v>
      </c>
    </row>
    <row r="36" spans="1:14" ht="15" customHeight="1" x14ac:dyDescent="0.3">
      <c r="G36"/>
      <c r="I36" s="364" t="s">
        <v>253</v>
      </c>
      <c r="J36" s="371">
        <v>0</v>
      </c>
      <c r="K36" s="44" t="s">
        <v>252</v>
      </c>
      <c r="L36" s="371">
        <v>0</v>
      </c>
      <c r="M36" s="364" t="s">
        <v>252</v>
      </c>
      <c r="N36" s="371">
        <v>0</v>
      </c>
    </row>
    <row r="37" spans="1:14" ht="15" customHeight="1" x14ac:dyDescent="0.3">
      <c r="G37"/>
      <c r="I37" s="364" t="s">
        <v>254</v>
      </c>
      <c r="J37" s="371">
        <v>0</v>
      </c>
      <c r="K37" s="44" t="s">
        <v>253</v>
      </c>
      <c r="L37" s="371">
        <v>0</v>
      </c>
      <c r="M37" s="364" t="s">
        <v>253</v>
      </c>
      <c r="N37" s="371">
        <v>0</v>
      </c>
    </row>
    <row r="38" spans="1:14" ht="15" customHeight="1" x14ac:dyDescent="0.3">
      <c r="G38"/>
      <c r="I38" s="364"/>
      <c r="J38" s="371"/>
      <c r="K38" s="44" t="s">
        <v>254</v>
      </c>
      <c r="L38" s="371">
        <v>0</v>
      </c>
      <c r="M38" s="364" t="s">
        <v>254</v>
      </c>
      <c r="N38" s="371">
        <v>0</v>
      </c>
    </row>
    <row r="39" spans="1:14" ht="15" customHeight="1" x14ac:dyDescent="0.3">
      <c r="G39"/>
      <c r="I39" s="364"/>
      <c r="J39" s="371"/>
      <c r="L39" s="371"/>
      <c r="M39" s="364"/>
      <c r="N39" s="371"/>
    </row>
    <row r="40" spans="1:14" ht="15" customHeight="1" x14ac:dyDescent="0.3">
      <c r="G40"/>
      <c r="I40" s="364"/>
      <c r="J40" s="371"/>
      <c r="L40" s="371"/>
      <c r="M40" s="364"/>
      <c r="N40" s="371"/>
    </row>
    <row r="41" spans="1:14" ht="15" customHeight="1" x14ac:dyDescent="0.3">
      <c r="G41"/>
      <c r="I41" s="364"/>
      <c r="J41" s="371"/>
      <c r="L41" s="371"/>
      <c r="M41" s="364"/>
      <c r="N41" s="371"/>
    </row>
    <row r="42" spans="1:14" ht="15" customHeight="1" x14ac:dyDescent="0.3">
      <c r="I42" s="366"/>
      <c r="J42" s="372"/>
      <c r="K42" s="366"/>
      <c r="L42" s="372"/>
      <c r="M42" s="366"/>
      <c r="N42" s="372"/>
    </row>
    <row r="43" spans="1:14" ht="15" customHeight="1" x14ac:dyDescent="0.3">
      <c r="J43" s="362"/>
      <c r="L43" s="362"/>
      <c r="N43" s="362"/>
    </row>
    <row r="44" spans="1:14" ht="14.4" hidden="1" customHeight="1" x14ac:dyDescent="0.3">
      <c r="A44" s="45" t="s">
        <v>5</v>
      </c>
      <c r="B44" s="45"/>
      <c r="C44" s="45"/>
      <c r="D44" s="45"/>
      <c r="E44" s="45"/>
      <c r="F44" s="241" t="s">
        <v>354</v>
      </c>
      <c r="J44" s="362"/>
      <c r="L44" s="362"/>
      <c r="N44" s="362"/>
    </row>
    <row r="45" spans="1:14" ht="14.4" hidden="1" customHeight="1" x14ac:dyDescent="0.3">
      <c r="A45" s="815" t="s">
        <v>10</v>
      </c>
      <c r="B45" s="816"/>
      <c r="C45" s="367" t="str">
        <f>LEFT(I3,4)</f>
        <v>2023</v>
      </c>
      <c r="D45" s="368" t="str">
        <f>LEFT(K3,4)</f>
        <v>2024</v>
      </c>
      <c r="E45" s="368" t="str">
        <f>LEFT(M3,4)</f>
        <v>03/2</v>
      </c>
      <c r="F45" s="203" t="s">
        <v>9</v>
      </c>
      <c r="J45" s="362"/>
      <c r="L45" s="362"/>
      <c r="N45" s="362"/>
    </row>
    <row r="46" spans="1:14" ht="22.2" hidden="1" customHeight="1" x14ac:dyDescent="0.3">
      <c r="A46" s="204" t="s">
        <v>4</v>
      </c>
      <c r="B46" s="205" t="s">
        <v>32</v>
      </c>
      <c r="C46" s="363">
        <f t="shared" ref="C46:C69" si="9">IFERROR(VLOOKUP($G46,I$4:J$42,2,FALSE),0)</f>
        <v>1188.3019999999999</v>
      </c>
      <c r="D46" s="207">
        <f t="shared" ref="D46:D69" si="10">IFERROR(VLOOKUP($G46,K$4:L$42,2,FALSE),0)</f>
        <v>1386.8430000000001</v>
      </c>
      <c r="E46" s="207">
        <f t="shared" ref="E46:E69" si="11">IFERROR(VLOOKUP($G46,M$4:N$42,2,FALSE),0)</f>
        <v>1429.018</v>
      </c>
      <c r="F46" s="208">
        <f t="shared" ref="F46:F55" si="12">IF(D46&gt;0,E46*100/D46,"-")</f>
        <v>103.04107963194102</v>
      </c>
      <c r="G46" s="44" t="s">
        <v>211</v>
      </c>
      <c r="J46" s="362"/>
      <c r="L46" s="362"/>
      <c r="N46" s="362"/>
    </row>
    <row r="47" spans="1:14" ht="17.25" hidden="1" customHeight="1" x14ac:dyDescent="0.3">
      <c r="A47" s="209" t="s">
        <v>33</v>
      </c>
      <c r="B47" s="210" t="s">
        <v>34</v>
      </c>
      <c r="C47" s="211">
        <f t="shared" si="9"/>
        <v>1130.0150000000001</v>
      </c>
      <c r="D47" s="212">
        <f t="shared" si="10"/>
        <v>1309.855</v>
      </c>
      <c r="E47" s="212">
        <f t="shared" si="11"/>
        <v>1360.0319999999999</v>
      </c>
      <c r="F47" s="213">
        <f t="shared" si="12"/>
        <v>103.83072935553933</v>
      </c>
      <c r="G47" s="44" t="s">
        <v>212</v>
      </c>
      <c r="J47" s="362"/>
      <c r="L47" s="362"/>
      <c r="N47" s="362"/>
    </row>
    <row r="48" spans="1:14" ht="27" hidden="1" customHeight="1" x14ac:dyDescent="0.3">
      <c r="A48" s="204" t="s">
        <v>67</v>
      </c>
      <c r="B48" s="205" t="s">
        <v>63</v>
      </c>
      <c r="C48" s="206">
        <f t="shared" si="9"/>
        <v>1124.0150000000001</v>
      </c>
      <c r="D48" s="207">
        <f t="shared" si="10"/>
        <v>1303.855</v>
      </c>
      <c r="E48" s="207">
        <f t="shared" si="11"/>
        <v>1354.0319999999999</v>
      </c>
      <c r="F48" s="208">
        <f t="shared" si="12"/>
        <v>103.84835737102667</v>
      </c>
      <c r="G48" s="44" t="s">
        <v>213</v>
      </c>
      <c r="J48" s="362"/>
      <c r="L48" s="362"/>
      <c r="N48" s="362"/>
    </row>
    <row r="49" spans="1:14" ht="14.4" hidden="1" customHeight="1" x14ac:dyDescent="0.3">
      <c r="A49" s="214" t="s">
        <v>35</v>
      </c>
      <c r="B49" s="215" t="s">
        <v>607</v>
      </c>
      <c r="C49" s="216">
        <f t="shared" si="9"/>
        <v>695.64099999999996</v>
      </c>
      <c r="D49" s="217">
        <f t="shared" si="10"/>
        <v>700.64099999999996</v>
      </c>
      <c r="E49" s="217">
        <f t="shared" si="11"/>
        <v>700.64099999999996</v>
      </c>
      <c r="F49" s="218">
        <f>IF(D49&gt;0,E49*100/D49,"-")</f>
        <v>99.999999999999986</v>
      </c>
      <c r="G49" s="44" t="s">
        <v>215</v>
      </c>
      <c r="J49" s="362"/>
      <c r="L49" s="362"/>
      <c r="N49" s="362"/>
    </row>
    <row r="50" spans="1:14" ht="14.4" hidden="1" customHeight="1" x14ac:dyDescent="0.3">
      <c r="A50" s="214" t="s">
        <v>36</v>
      </c>
      <c r="B50" s="215" t="s">
        <v>37</v>
      </c>
      <c r="C50" s="216">
        <f t="shared" si="9"/>
        <v>17.256</v>
      </c>
      <c r="D50" s="217">
        <f t="shared" si="10"/>
        <v>17.256</v>
      </c>
      <c r="E50" s="217">
        <f t="shared" si="11"/>
        <v>17.256</v>
      </c>
      <c r="F50" s="218">
        <f t="shared" si="12"/>
        <v>100</v>
      </c>
      <c r="G50" s="44" t="s">
        <v>217</v>
      </c>
      <c r="J50" s="362"/>
      <c r="L50" s="362"/>
      <c r="N50" s="362"/>
    </row>
    <row r="51" spans="1:14" ht="25.5" hidden="1" customHeight="1" x14ac:dyDescent="0.3">
      <c r="A51" s="214" t="s">
        <v>38</v>
      </c>
      <c r="B51" s="215" t="s">
        <v>223</v>
      </c>
      <c r="C51" s="216">
        <f t="shared" si="9"/>
        <v>-1.508</v>
      </c>
      <c r="D51" s="217">
        <f t="shared" si="10"/>
        <v>-1.2150000000000001</v>
      </c>
      <c r="E51" s="217">
        <f t="shared" si="11"/>
        <v>0</v>
      </c>
      <c r="F51" s="208" t="str">
        <f t="shared" si="12"/>
        <v>-</v>
      </c>
      <c r="G51" s="44" t="s">
        <v>222</v>
      </c>
      <c r="J51" s="362"/>
      <c r="L51" s="362"/>
      <c r="N51" s="362"/>
    </row>
    <row r="52" spans="1:14" ht="14.4" hidden="1" customHeight="1" x14ac:dyDescent="0.3">
      <c r="A52" s="214" t="s">
        <v>40</v>
      </c>
      <c r="B52" s="215" t="s">
        <v>39</v>
      </c>
      <c r="C52" s="216">
        <f t="shared" si="9"/>
        <v>270.72899999999998</v>
      </c>
      <c r="D52" s="217">
        <f t="shared" si="10"/>
        <v>373.75299999999999</v>
      </c>
      <c r="E52" s="217">
        <f t="shared" si="11"/>
        <v>420.90600000000001</v>
      </c>
      <c r="F52" s="218">
        <f t="shared" si="12"/>
        <v>112.61608602472757</v>
      </c>
      <c r="G52" s="44" t="s">
        <v>226</v>
      </c>
      <c r="J52" s="362"/>
      <c r="L52" s="362"/>
      <c r="N52" s="362"/>
    </row>
    <row r="53" spans="1:14" ht="14.4" hidden="1" customHeight="1" x14ac:dyDescent="0.3">
      <c r="A53" s="214" t="s">
        <v>42</v>
      </c>
      <c r="B53" s="215" t="s">
        <v>41</v>
      </c>
      <c r="C53" s="216">
        <f t="shared" si="9"/>
        <v>64.716999999999999</v>
      </c>
      <c r="D53" s="217">
        <f t="shared" si="10"/>
        <v>99.951999999999998</v>
      </c>
      <c r="E53" s="217">
        <f t="shared" si="11"/>
        <v>99.951999999999998</v>
      </c>
      <c r="F53" s="218">
        <f t="shared" si="12"/>
        <v>100.00000000000001</v>
      </c>
      <c r="G53" s="44" t="s">
        <v>227</v>
      </c>
      <c r="J53" s="362"/>
      <c r="L53" s="362"/>
      <c r="N53" s="362"/>
    </row>
    <row r="54" spans="1:14" ht="14.4" hidden="1" customHeight="1" x14ac:dyDescent="0.3">
      <c r="A54" s="214" t="s">
        <v>44</v>
      </c>
      <c r="B54" s="215" t="s">
        <v>43</v>
      </c>
      <c r="C54" s="216">
        <f t="shared" si="9"/>
        <v>-17.285</v>
      </c>
      <c r="D54" s="217">
        <f t="shared" si="10"/>
        <v>-9.9</v>
      </c>
      <c r="E54" s="217">
        <f t="shared" si="11"/>
        <v>-8.7029999999999994</v>
      </c>
      <c r="F54" s="218" t="str">
        <f t="shared" si="12"/>
        <v>-</v>
      </c>
      <c r="G54" s="44" t="s">
        <v>230</v>
      </c>
      <c r="J54" s="362"/>
      <c r="L54" s="362"/>
      <c r="N54" s="362"/>
    </row>
    <row r="55" spans="1:14" ht="14.4" hidden="1" customHeight="1" x14ac:dyDescent="0.3">
      <c r="A55" s="214" t="s">
        <v>46</v>
      </c>
      <c r="B55" s="215" t="s">
        <v>45</v>
      </c>
      <c r="C55" s="216">
        <f t="shared" si="9"/>
        <v>137.40299999999999</v>
      </c>
      <c r="D55" s="217">
        <f t="shared" si="10"/>
        <v>143.30699999999999</v>
      </c>
      <c r="E55" s="217">
        <f t="shared" si="11"/>
        <v>143.40600000000001</v>
      </c>
      <c r="F55" s="218">
        <f t="shared" si="12"/>
        <v>100.06908245933556</v>
      </c>
      <c r="G55" s="44" t="s">
        <v>232</v>
      </c>
      <c r="J55" s="362"/>
      <c r="L55" s="362"/>
      <c r="N55" s="362"/>
    </row>
    <row r="56" spans="1:14" ht="14.4" hidden="1" customHeight="1" x14ac:dyDescent="0.3">
      <c r="A56" s="214" t="s">
        <v>47</v>
      </c>
      <c r="B56" s="215" t="s">
        <v>64</v>
      </c>
      <c r="C56" s="216">
        <f t="shared" si="9"/>
        <v>-24.536000000000001</v>
      </c>
      <c r="D56" s="217">
        <f t="shared" si="10"/>
        <v>-13.422000000000001</v>
      </c>
      <c r="E56" s="217">
        <f t="shared" si="11"/>
        <v>-12.9</v>
      </c>
      <c r="F56" s="218">
        <f>IF(D56&lt;&gt;0,E56*100/D56,"-")</f>
        <v>96.110862762628514</v>
      </c>
      <c r="G56" s="44" t="s">
        <v>236</v>
      </c>
      <c r="J56" s="362"/>
      <c r="L56" s="362"/>
      <c r="N56" s="362"/>
    </row>
    <row r="57" spans="1:14" ht="36" hidden="1" customHeight="1" x14ac:dyDescent="0.3">
      <c r="A57" s="214" t="s">
        <v>48</v>
      </c>
      <c r="B57" s="215" t="s">
        <v>137</v>
      </c>
      <c r="C57" s="216">
        <f t="shared" si="9"/>
        <v>-3.45</v>
      </c>
      <c r="D57" s="217">
        <f t="shared" si="10"/>
        <v>-3.08</v>
      </c>
      <c r="E57" s="217">
        <f t="shared" si="11"/>
        <v>-2.9580000000000002</v>
      </c>
      <c r="F57" s="218">
        <f>IF(D57&lt;&gt;0,E57*100/D57,"-")</f>
        <v>96.038961038961034</v>
      </c>
      <c r="G57" s="44" t="s">
        <v>239</v>
      </c>
    </row>
    <row r="58" spans="1:14" ht="24" hidden="1" customHeight="1" x14ac:dyDescent="0.3">
      <c r="A58" s="214" t="s">
        <v>136</v>
      </c>
      <c r="B58" s="215" t="s">
        <v>49</v>
      </c>
      <c r="C58" s="216">
        <f t="shared" si="9"/>
        <v>0</v>
      </c>
      <c r="D58" s="217">
        <f t="shared" si="10"/>
        <v>0</v>
      </c>
      <c r="E58" s="217">
        <f t="shared" si="11"/>
        <v>0</v>
      </c>
      <c r="F58" s="218" t="str">
        <f>IF(D58&gt;0,E58*100/D58,"-")</f>
        <v>-</v>
      </c>
      <c r="G58" s="44" t="s">
        <v>240</v>
      </c>
    </row>
    <row r="59" spans="1:14" ht="24" hidden="1" customHeight="1" x14ac:dyDescent="0.3">
      <c r="A59" s="214" t="s">
        <v>237</v>
      </c>
      <c r="B59" s="215" t="s">
        <v>138</v>
      </c>
      <c r="C59" s="216">
        <f t="shared" si="9"/>
        <v>-3.9460000000000002</v>
      </c>
      <c r="D59" s="217">
        <f t="shared" si="10"/>
        <v>-3.4369999999999998</v>
      </c>
      <c r="E59" s="217">
        <f t="shared" si="11"/>
        <v>-3.5680000000000001</v>
      </c>
      <c r="F59" s="218">
        <f>IF(D59&lt;&gt;0,E59*100/D59,"-")</f>
        <v>103.81146348559791</v>
      </c>
      <c r="G59" s="44" t="s">
        <v>241</v>
      </c>
    </row>
    <row r="60" spans="1:14" ht="14.4" hidden="1" customHeight="1" x14ac:dyDescent="0.3">
      <c r="A60" s="204" t="s">
        <v>68</v>
      </c>
      <c r="B60" s="205" t="s">
        <v>65</v>
      </c>
      <c r="C60" s="206">
        <f t="shared" si="9"/>
        <v>6</v>
      </c>
      <c r="D60" s="207">
        <f t="shared" si="10"/>
        <v>6</v>
      </c>
      <c r="E60" s="207">
        <f t="shared" si="11"/>
        <v>6</v>
      </c>
      <c r="F60" s="208">
        <f t="shared" ref="F60:F69" si="13">IF(D60&gt;0,E60*100/D60,"-")</f>
        <v>100</v>
      </c>
      <c r="G60" s="44" t="s">
        <v>243</v>
      </c>
    </row>
    <row r="61" spans="1:14" ht="24" hidden="1" customHeight="1" x14ac:dyDescent="0.3">
      <c r="A61" s="214" t="s">
        <v>50</v>
      </c>
      <c r="B61" s="215" t="s">
        <v>608</v>
      </c>
      <c r="C61" s="216">
        <f t="shared" si="9"/>
        <v>6</v>
      </c>
      <c r="D61" s="217">
        <f t="shared" si="10"/>
        <v>6</v>
      </c>
      <c r="E61" s="217">
        <f t="shared" si="11"/>
        <v>6</v>
      </c>
      <c r="F61" s="218">
        <f t="shared" si="13"/>
        <v>100</v>
      </c>
      <c r="G61" s="44" t="s">
        <v>244</v>
      </c>
    </row>
    <row r="62" spans="1:14" ht="24" hidden="1" customHeight="1" x14ac:dyDescent="0.3">
      <c r="A62" s="214" t="s">
        <v>51</v>
      </c>
      <c r="B62" s="215" t="s">
        <v>52</v>
      </c>
      <c r="C62" s="216">
        <f t="shared" si="9"/>
        <v>0</v>
      </c>
      <c r="D62" s="217">
        <f t="shared" si="10"/>
        <v>0</v>
      </c>
      <c r="E62" s="217">
        <f t="shared" si="11"/>
        <v>0</v>
      </c>
      <c r="F62" s="218" t="str">
        <f t="shared" si="13"/>
        <v>-</v>
      </c>
      <c r="G62" s="44" t="s">
        <v>246</v>
      </c>
    </row>
    <row r="63" spans="1:14" ht="36" hidden="1" customHeight="1" x14ac:dyDescent="0.3">
      <c r="A63" s="219" t="s">
        <v>53</v>
      </c>
      <c r="B63" s="220" t="s">
        <v>54</v>
      </c>
      <c r="C63" s="221">
        <f t="shared" si="9"/>
        <v>0</v>
      </c>
      <c r="D63" s="222">
        <f t="shared" si="10"/>
        <v>0</v>
      </c>
      <c r="E63" s="222">
        <f t="shared" si="11"/>
        <v>0</v>
      </c>
      <c r="F63" s="218" t="str">
        <f>IF(D63&gt;0,E63*100/D63,"-")</f>
        <v>-</v>
      </c>
      <c r="G63" s="44" t="s">
        <v>247</v>
      </c>
    </row>
    <row r="64" spans="1:14" ht="14.4" hidden="1" customHeight="1" x14ac:dyDescent="0.3">
      <c r="A64" s="204" t="s">
        <v>55</v>
      </c>
      <c r="B64" s="205" t="s">
        <v>66</v>
      </c>
      <c r="C64" s="206">
        <f t="shared" si="9"/>
        <v>58.287999999999997</v>
      </c>
      <c r="D64" s="207">
        <f t="shared" si="10"/>
        <v>76.986999999999995</v>
      </c>
      <c r="E64" s="207">
        <f t="shared" si="11"/>
        <v>68.986000000000004</v>
      </c>
      <c r="F64" s="208">
        <f t="shared" si="13"/>
        <v>89.607336303531781</v>
      </c>
      <c r="G64" s="44" t="s">
        <v>248</v>
      </c>
    </row>
    <row r="65" spans="1:7" ht="24" hidden="1" customHeight="1" x14ac:dyDescent="0.3">
      <c r="A65" s="214" t="s">
        <v>56</v>
      </c>
      <c r="B65" s="215" t="s">
        <v>609</v>
      </c>
      <c r="C65" s="216">
        <f t="shared" si="9"/>
        <v>58.287999999999997</v>
      </c>
      <c r="D65" s="217">
        <f t="shared" si="10"/>
        <v>76.986999999999995</v>
      </c>
      <c r="E65" s="217">
        <f t="shared" si="11"/>
        <v>68.986000000000004</v>
      </c>
      <c r="F65" s="218">
        <f t="shared" si="13"/>
        <v>89.607336303531781</v>
      </c>
      <c r="G65" s="44" t="s">
        <v>249</v>
      </c>
    </row>
    <row r="66" spans="1:7" ht="24" hidden="1" customHeight="1" x14ac:dyDescent="0.3">
      <c r="A66" s="214"/>
      <c r="B66" s="547" t="s">
        <v>606</v>
      </c>
      <c r="C66" s="216">
        <f>IFERROR(VLOOKUP($G66,I$4:J$42,2,FALSE),0)</f>
        <v>0</v>
      </c>
      <c r="D66" s="217">
        <f>IFERROR(VLOOKUP($G66,K$4:L$42,2,FALSE),0)</f>
        <v>0</v>
      </c>
      <c r="E66" s="217">
        <f>IFERROR(VLOOKUP($G66,M$4:N$42,2,FALSE),0)</f>
        <v>0</v>
      </c>
      <c r="F66" s="218" t="str">
        <f t="shared" si="13"/>
        <v>-</v>
      </c>
      <c r="G66" s="44" t="s">
        <v>251</v>
      </c>
    </row>
    <row r="67" spans="1:7" ht="24" hidden="1" customHeight="1" x14ac:dyDescent="0.3">
      <c r="A67" s="214" t="s">
        <v>57</v>
      </c>
      <c r="B67" s="215" t="s">
        <v>58</v>
      </c>
      <c r="C67" s="216">
        <f>IFERROR(VLOOKUP($G67,I$4:J$42,2,FALSE),0)</f>
        <v>0</v>
      </c>
      <c r="D67" s="217">
        <f t="shared" si="10"/>
        <v>0</v>
      </c>
      <c r="E67" s="217">
        <f t="shared" si="11"/>
        <v>0</v>
      </c>
      <c r="F67" s="218" t="str">
        <f t="shared" si="13"/>
        <v>-</v>
      </c>
      <c r="G67" s="44" t="s">
        <v>252</v>
      </c>
    </row>
    <row r="68" spans="1:7" ht="24" hidden="1" customHeight="1" x14ac:dyDescent="0.3">
      <c r="A68" s="214" t="s">
        <v>59</v>
      </c>
      <c r="B68" s="215" t="s">
        <v>60</v>
      </c>
      <c r="C68" s="216">
        <f t="shared" si="9"/>
        <v>0</v>
      </c>
      <c r="D68" s="217">
        <f t="shared" si="10"/>
        <v>0</v>
      </c>
      <c r="E68" s="217">
        <f t="shared" si="11"/>
        <v>0</v>
      </c>
      <c r="F68" s="218" t="str">
        <f t="shared" si="13"/>
        <v>-</v>
      </c>
      <c r="G68" s="44" t="s">
        <v>253</v>
      </c>
    </row>
    <row r="69" spans="1:7" ht="24.6" hidden="1" customHeight="1" x14ac:dyDescent="0.3">
      <c r="A69" s="223" t="s">
        <v>61</v>
      </c>
      <c r="B69" s="224" t="s">
        <v>62</v>
      </c>
      <c r="C69" s="225">
        <f t="shared" si="9"/>
        <v>0</v>
      </c>
      <c r="D69" s="226">
        <f t="shared" si="10"/>
        <v>0</v>
      </c>
      <c r="E69" s="226">
        <f t="shared" si="11"/>
        <v>0</v>
      </c>
      <c r="F69" s="227" t="str">
        <f t="shared" si="13"/>
        <v>-</v>
      </c>
      <c r="G69" s="44" t="s">
        <v>254</v>
      </c>
    </row>
  </sheetData>
  <customSheetViews>
    <customSheetView guid="{5507C501-9942-4310-9E0E-987180BD1180}">
      <selection sqref="A1:D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sqref="A1:D1"/>
      <pageMargins left="0.7" right="0.7" top="0.75" bottom="0.75" header="0.3" footer="0.3"/>
      <pageSetup paperSize="9" orientation="portrait" verticalDpi="0" r:id="rId2"/>
    </customSheetView>
  </customSheetViews>
  <mergeCells count="4">
    <mergeCell ref="A45:B45"/>
    <mergeCell ref="I3:J3"/>
    <mergeCell ref="K3:L3"/>
    <mergeCell ref="M3:N3"/>
  </mergeCells>
  <phoneticPr fontId="18" type="noConversion"/>
  <pageMargins left="0.7" right="0.7" top="0.75" bottom="0.75" header="0.3" footer="0.3"/>
  <pageSetup paperSize="9" scale="79" orientation="portrait" verticalDpi="0" r:id="rId3"/>
  <ignoredErrors>
    <ignoredError sqref="C8:C10 F58:F59 D8:E8 C16 D15:E15 C20:E20 E16 D19 C21:E21 C12 C14:C15 D10:E14 D9" formula="1"/>
    <ignoredError sqref="G5:G14 G67:G69 G16:G17 H17 H26 G19:G26 G46:G66" numberStoredAsText="1"/>
  </ignoredError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D944-CB99-4B64-A03C-BE963110E343}">
  <sheetPr codeName="Sheet133"/>
  <dimension ref="A1:F12"/>
  <sheetViews>
    <sheetView showGridLines="0" topLeftCell="B1" zoomScaleNormal="100" workbookViewId="0">
      <selection activeCell="B2" sqref="B2"/>
    </sheetView>
  </sheetViews>
  <sheetFormatPr defaultColWidth="8.6640625" defaultRowHeight="14.4" x14ac:dyDescent="0.3"/>
  <cols>
    <col min="1" max="1" width="5.33203125" hidden="1" customWidth="1"/>
    <col min="2" max="2" width="37.44140625" customWidth="1"/>
    <col min="3" max="6" width="12.5546875" customWidth="1"/>
    <col min="9" max="9" width="10.109375" bestFit="1" customWidth="1"/>
    <col min="10" max="10" width="11.33203125" customWidth="1"/>
  </cols>
  <sheetData>
    <row r="1" spans="2:6" x14ac:dyDescent="0.3">
      <c r="F1" s="352"/>
    </row>
    <row r="2" spans="2:6" x14ac:dyDescent="0.3">
      <c r="B2" s="45" t="s">
        <v>581</v>
      </c>
      <c r="C2" s="46"/>
      <c r="D2" s="46"/>
      <c r="E2" s="46"/>
      <c r="F2" s="46"/>
    </row>
    <row r="3" spans="2:6" ht="36" x14ac:dyDescent="0.3">
      <c r="B3" s="483" t="s">
        <v>148</v>
      </c>
      <c r="C3" s="153" t="s">
        <v>554</v>
      </c>
      <c r="D3" s="153" t="s">
        <v>352</v>
      </c>
      <c r="E3" s="153" t="s">
        <v>353</v>
      </c>
      <c r="F3" s="153" t="s">
        <v>13</v>
      </c>
    </row>
    <row r="4" spans="2:6" x14ac:dyDescent="0.3">
      <c r="B4" s="478" t="s">
        <v>620</v>
      </c>
      <c r="C4" s="479"/>
      <c r="D4" s="479"/>
      <c r="E4" s="479"/>
      <c r="F4" s="479"/>
    </row>
    <row r="5" spans="2:6" x14ac:dyDescent="0.3">
      <c r="B5" s="473" t="s">
        <v>585</v>
      </c>
      <c r="C5" s="474">
        <v>171</v>
      </c>
      <c r="D5" s="474">
        <v>107</v>
      </c>
      <c r="E5" s="47">
        <v>8231</v>
      </c>
      <c r="F5" s="47">
        <v>440</v>
      </c>
    </row>
    <row r="6" spans="2:6" ht="24" x14ac:dyDescent="0.3">
      <c r="B6" s="475" t="s">
        <v>584</v>
      </c>
      <c r="C6" s="47">
        <v>29</v>
      </c>
      <c r="D6" s="47">
        <v>21</v>
      </c>
      <c r="E6" s="47">
        <v>3712</v>
      </c>
      <c r="F6" s="47">
        <v>132</v>
      </c>
    </row>
    <row r="7" spans="2:6" ht="14.1" customHeight="1" thickBot="1" x14ac:dyDescent="0.35">
      <c r="B7" s="482" t="s">
        <v>16</v>
      </c>
      <c r="C7" s="477">
        <f>C5+C6</f>
        <v>200</v>
      </c>
      <c r="D7" s="477">
        <f>D5+D6</f>
        <v>128</v>
      </c>
      <c r="E7" s="477">
        <f t="shared" ref="E7:F7" si="0">E5+E6</f>
        <v>11943</v>
      </c>
      <c r="F7" s="477">
        <f t="shared" si="0"/>
        <v>572</v>
      </c>
    </row>
    <row r="8" spans="2:6" ht="14.1" customHeight="1" x14ac:dyDescent="0.3">
      <c r="B8" s="480" t="s">
        <v>618</v>
      </c>
      <c r="C8" s="481"/>
      <c r="D8" s="481"/>
      <c r="E8" s="481"/>
      <c r="F8" s="481"/>
    </row>
    <row r="9" spans="2:6" ht="14.1" customHeight="1" x14ac:dyDescent="0.3">
      <c r="B9" s="473" t="s">
        <v>585</v>
      </c>
      <c r="C9" s="474">
        <v>171</v>
      </c>
      <c r="D9" s="474">
        <v>106</v>
      </c>
      <c r="E9" s="47">
        <v>8292</v>
      </c>
      <c r="F9" s="47">
        <v>441</v>
      </c>
    </row>
    <row r="10" spans="2:6" ht="24" x14ac:dyDescent="0.3">
      <c r="B10" s="475" t="s">
        <v>584</v>
      </c>
      <c r="C10" s="47">
        <v>29</v>
      </c>
      <c r="D10" s="47">
        <v>21</v>
      </c>
      <c r="E10" s="47">
        <v>4264</v>
      </c>
      <c r="F10" s="47">
        <v>134</v>
      </c>
    </row>
    <row r="11" spans="2:6" ht="14.1" customHeight="1" thickBot="1" x14ac:dyDescent="0.35">
      <c r="B11" s="476" t="s">
        <v>16</v>
      </c>
      <c r="C11" s="477">
        <f>C9+C10</f>
        <v>200</v>
      </c>
      <c r="D11" s="477">
        <f>D9+D10</f>
        <v>127</v>
      </c>
      <c r="E11" s="477">
        <f t="shared" ref="E11:F11" si="1">E9+E10</f>
        <v>12556</v>
      </c>
      <c r="F11" s="477">
        <f t="shared" si="1"/>
        <v>575</v>
      </c>
    </row>
    <row r="12" spans="2:6" ht="14.1" customHeight="1" x14ac:dyDescent="0.3"/>
  </sheetData>
  <pageMargins left="0.7" right="0.7" top="0.75" bottom="0.75" header="0.3" footer="0.3"/>
  <pageSetup paperSize="9" scale="98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95"/>
  <dimension ref="A1:E8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5.88671875" customWidth="1"/>
    <col min="2" max="5" width="11.5546875" customWidth="1"/>
    <col min="7" max="14" width="5.77734375" customWidth="1"/>
  </cols>
  <sheetData>
    <row r="1" spans="1:5" hidden="1" x14ac:dyDescent="0.3">
      <c r="B1" s="33"/>
      <c r="C1" s="33"/>
      <c r="D1" s="33"/>
    </row>
    <row r="2" spans="1:5" x14ac:dyDescent="0.3">
      <c r="A2" s="228"/>
    </row>
    <row r="3" spans="1:5" x14ac:dyDescent="0.3">
      <c r="A3" s="45" t="s">
        <v>273</v>
      </c>
      <c r="B3" s="45"/>
      <c r="C3" s="45"/>
      <c r="D3" s="45"/>
      <c r="E3" s="241" t="s">
        <v>354</v>
      </c>
    </row>
    <row r="4" spans="1:5" ht="20.399999999999999" customHeight="1" x14ac:dyDescent="0.3">
      <c r="A4" s="164" t="s">
        <v>10</v>
      </c>
      <c r="B4" s="229" t="s">
        <v>610</v>
      </c>
      <c r="C4" s="230" t="s">
        <v>617</v>
      </c>
      <c r="D4" s="230" t="s">
        <v>619</v>
      </c>
      <c r="E4" s="51" t="str">
        <f>IF(LEN(D4)&gt;5,"Индекс " &amp; MID(D4,1,2) &amp; "-" &amp; MID(D4,4,5) &amp; "/" &amp; C4,"Индекс " &amp; D4 &amp; "/" &amp; C4)</f>
        <v>Индекс 03-2025./2024.</v>
      </c>
    </row>
    <row r="5" spans="1:5" ht="14.1" customHeight="1" x14ac:dyDescent="0.3">
      <c r="A5" s="231" t="s">
        <v>69</v>
      </c>
      <c r="B5" s="232">
        <f>SUM(B6:B8)</f>
        <v>5668.1660000000002</v>
      </c>
      <c r="C5" s="233">
        <f>SUM(C6:C8)</f>
        <v>6563.3619999999992</v>
      </c>
      <c r="D5" s="233">
        <f>SUM(D6:D8)</f>
        <v>6690.9039999999995</v>
      </c>
      <c r="E5" s="234">
        <f>IF(C5&gt;0,D5*100/C5,"-")</f>
        <v>101.94324189340767</v>
      </c>
    </row>
    <row r="6" spans="1:5" ht="14.1" customHeight="1" x14ac:dyDescent="0.3">
      <c r="A6" s="235" t="s">
        <v>415</v>
      </c>
      <c r="B6" s="154">
        <v>5088.4570000000003</v>
      </c>
      <c r="C6" s="236">
        <v>5921.3059999999996</v>
      </c>
      <c r="D6" s="236">
        <v>6041.6030000000001</v>
      </c>
      <c r="E6" s="152">
        <f t="shared" ref="E6:E8" si="0">IF(C6&gt;0,D6*100/C6,"-")</f>
        <v>102.03159573242796</v>
      </c>
    </row>
    <row r="7" spans="1:5" ht="14.1" customHeight="1" x14ac:dyDescent="0.3">
      <c r="A7" s="235" t="s">
        <v>416</v>
      </c>
      <c r="B7" s="154">
        <v>31.38</v>
      </c>
      <c r="C7" s="236">
        <v>7.7229999999999999</v>
      </c>
      <c r="D7" s="236">
        <v>14.968</v>
      </c>
      <c r="E7" s="152">
        <f t="shared" si="0"/>
        <v>193.81069532565064</v>
      </c>
    </row>
    <row r="8" spans="1:5" ht="14.1" customHeight="1" thickBot="1" x14ac:dyDescent="0.35">
      <c r="A8" s="237" t="s">
        <v>417</v>
      </c>
      <c r="B8" s="238">
        <v>548.32899999999995</v>
      </c>
      <c r="C8" s="239">
        <v>634.33299999999997</v>
      </c>
      <c r="D8" s="239">
        <v>634.33299999999997</v>
      </c>
      <c r="E8" s="240">
        <f t="shared" si="0"/>
        <v>100</v>
      </c>
    </row>
  </sheetData>
  <customSheetViews>
    <customSheetView guid="{5507C501-9942-4310-9E0E-987180BD1180}"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sqref="A1:E7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97"/>
  <dimension ref="A1:O13"/>
  <sheetViews>
    <sheetView showGridLines="0" topLeftCell="B1" zoomScaleNormal="100" workbookViewId="0">
      <selection activeCell="B2" sqref="B2:C2"/>
    </sheetView>
  </sheetViews>
  <sheetFormatPr defaultRowHeight="14.4" x14ac:dyDescent="0.3"/>
  <cols>
    <col min="1" max="1" width="4.88671875" hidden="1" customWidth="1"/>
    <col min="2" max="2" width="42" customWidth="1"/>
    <col min="3" max="5" width="10.5546875" customWidth="1"/>
    <col min="6" max="6" width="13.44140625" customWidth="1"/>
    <col min="8" max="14" width="5.77734375" customWidth="1"/>
    <col min="15" max="15" width="0" style="18" hidden="1" customWidth="1"/>
  </cols>
  <sheetData>
    <row r="1" spans="2:15" x14ac:dyDescent="0.3">
      <c r="B1" s="22"/>
      <c r="C1" s="22"/>
    </row>
    <row r="2" spans="2:15" ht="15" customHeight="1" x14ac:dyDescent="0.3">
      <c r="B2" s="771" t="s">
        <v>274</v>
      </c>
      <c r="C2" s="819"/>
      <c r="D2" s="45"/>
      <c r="E2" s="157"/>
      <c r="F2" s="241" t="s">
        <v>354</v>
      </c>
    </row>
    <row r="3" spans="2:15" ht="22.2" customHeight="1" x14ac:dyDescent="0.3">
      <c r="B3" s="164" t="s">
        <v>10</v>
      </c>
      <c r="C3" s="242" t="s">
        <v>610</v>
      </c>
      <c r="D3" s="243" t="s">
        <v>617</v>
      </c>
      <c r="E3" s="243" t="s">
        <v>619</v>
      </c>
      <c r="F3" s="51" t="str">
        <f>IF(LEN(E3)&gt;5,"Индекс " &amp; MID(E3,1,2) &amp; "-" &amp; MID(E3,4,5) &amp; "/" &amp; D3,"Индекс " &amp; E3 &amp; "/" &amp; D3)</f>
        <v>Индекс 03-2025./2024.</v>
      </c>
    </row>
    <row r="4" spans="2:15" ht="14.1" customHeight="1" x14ac:dyDescent="0.3">
      <c r="B4" s="244" t="s">
        <v>69</v>
      </c>
      <c r="C4" s="245">
        <f>'Tab 27'!B5</f>
        <v>5668.1660000000002</v>
      </c>
      <c r="D4" s="246">
        <f>'Tab 27'!C5</f>
        <v>6563.3619999999992</v>
      </c>
      <c r="E4" s="246">
        <f>'Tab 27'!D5</f>
        <v>6690.9039999999995</v>
      </c>
      <c r="F4" s="247">
        <f>IF(D4&gt;0,E4*100/D4,"-")</f>
        <v>101.94324189340767</v>
      </c>
      <c r="O4" s="577" t="s">
        <v>3</v>
      </c>
    </row>
    <row r="5" spans="2:15" ht="14.1" customHeight="1" x14ac:dyDescent="0.3">
      <c r="B5" s="235" t="s">
        <v>70</v>
      </c>
      <c r="C5" s="154">
        <v>1188.3019999999999</v>
      </c>
      <c r="D5" s="236">
        <v>1386.8430000000001</v>
      </c>
      <c r="E5" s="236">
        <v>1429.018</v>
      </c>
      <c r="F5" s="152">
        <f t="shared" ref="F5:F13" si="0">IF(D5&gt;0,E5*100/D5,"-")</f>
        <v>103.04107963194102</v>
      </c>
      <c r="O5" s="3"/>
    </row>
    <row r="6" spans="2:15" ht="14.1" customHeight="1" x14ac:dyDescent="0.3">
      <c r="B6" s="235" t="s">
        <v>71</v>
      </c>
      <c r="C6" s="154">
        <f>C5-ROUND(0.12*C$4,0)</f>
        <v>508.30199999999991</v>
      </c>
      <c r="D6" s="236">
        <f>D5-ROUND(0.12*D$4,0)</f>
        <v>598.84300000000007</v>
      </c>
      <c r="E6" s="236">
        <f>E5-ROUND(0.12*E$4,0)</f>
        <v>626.01800000000003</v>
      </c>
      <c r="F6" s="152">
        <f t="shared" si="0"/>
        <v>104.53791728382897</v>
      </c>
      <c r="O6" s="3"/>
    </row>
    <row r="7" spans="2:15" ht="14.1" customHeight="1" x14ac:dyDescent="0.3">
      <c r="B7" s="248" t="s">
        <v>76</v>
      </c>
      <c r="C7" s="249">
        <f>IF(C$4&lt;&gt;0,ROUND(C5/C$4,4),0)</f>
        <v>0.20960000000000001</v>
      </c>
      <c r="D7" s="250">
        <f>IF(D$4&lt;&gt;0,ROUND(D5/D$4,4),0)</f>
        <v>0.21129999999999999</v>
      </c>
      <c r="E7" s="250">
        <f>IF(E$4&lt;&gt;0,ROUND(E5/E$4,4),0)</f>
        <v>0.21360000000000001</v>
      </c>
      <c r="F7" s="251">
        <f t="shared" si="0"/>
        <v>101.08849976336963</v>
      </c>
      <c r="O7" s="576">
        <f>ROUND(E7,3)</f>
        <v>0.214</v>
      </c>
    </row>
    <row r="8" spans="2:15" ht="14.1" customHeight="1" x14ac:dyDescent="0.3">
      <c r="B8" s="235" t="s">
        <v>72</v>
      </c>
      <c r="C8" s="154">
        <v>1130.0150000000001</v>
      </c>
      <c r="D8" s="236">
        <v>1309.855</v>
      </c>
      <c r="E8" s="236">
        <v>1360.0319999999999</v>
      </c>
      <c r="F8" s="152">
        <f t="shared" si="0"/>
        <v>103.83072935553933</v>
      </c>
      <c r="O8" s="3"/>
    </row>
    <row r="9" spans="2:15" ht="14.1" customHeight="1" x14ac:dyDescent="0.3">
      <c r="B9" s="235" t="s">
        <v>73</v>
      </c>
      <c r="C9" s="154">
        <f>C8-ROUND(0.09*C$4,0)</f>
        <v>620.0150000000001</v>
      </c>
      <c r="D9" s="236">
        <f>D8-ROUND(0.09*D$4,0)</f>
        <v>718.85500000000002</v>
      </c>
      <c r="E9" s="236">
        <f>E8-ROUND(0.09*E$4,0)</f>
        <v>758.03199999999993</v>
      </c>
      <c r="F9" s="152">
        <f t="shared" si="0"/>
        <v>105.44991688170771</v>
      </c>
      <c r="O9" s="3"/>
    </row>
    <row r="10" spans="2:15" ht="14.1" customHeight="1" x14ac:dyDescent="0.3">
      <c r="B10" s="248" t="s">
        <v>77</v>
      </c>
      <c r="C10" s="249">
        <f>IF(C$4&lt;&gt;0,ROUND(C8/C$4,4),0)</f>
        <v>0.19939999999999999</v>
      </c>
      <c r="D10" s="250">
        <f>IF(D$4&lt;&gt;0,ROUND(D8/D$4,4),0)</f>
        <v>0.1996</v>
      </c>
      <c r="E10" s="250">
        <f>IF(E$4&lt;&gt;0,ROUND(E8/E$4,4),0)</f>
        <v>0.20330000000000001</v>
      </c>
      <c r="F10" s="251">
        <f t="shared" si="0"/>
        <v>101.85370741482967</v>
      </c>
      <c r="O10" s="576">
        <f>ROUND(E10,3)</f>
        <v>0.20300000000000001</v>
      </c>
    </row>
    <row r="11" spans="2:15" ht="14.1" customHeight="1" x14ac:dyDescent="0.3">
      <c r="B11" s="235" t="s">
        <v>74</v>
      </c>
      <c r="C11" s="154">
        <v>1124.0150000000001</v>
      </c>
      <c r="D11" s="236">
        <v>1303.855</v>
      </c>
      <c r="E11" s="236">
        <v>1354.0319999999999</v>
      </c>
      <c r="F11" s="152">
        <f t="shared" si="0"/>
        <v>103.84835737102667</v>
      </c>
      <c r="O11" s="3"/>
    </row>
    <row r="12" spans="2:15" ht="14.1" customHeight="1" x14ac:dyDescent="0.3">
      <c r="B12" s="235" t="s">
        <v>75</v>
      </c>
      <c r="C12" s="154">
        <f>C11-ROUND(0.0675*C$4,0)</f>
        <v>741.0150000000001</v>
      </c>
      <c r="D12" s="236">
        <f>D11-ROUND(0.0675*D$4,0)</f>
        <v>860.85500000000002</v>
      </c>
      <c r="E12" s="236">
        <f>E11-ROUND(0.0675*E$4,0)</f>
        <v>902.03199999999993</v>
      </c>
      <c r="F12" s="152">
        <f t="shared" si="0"/>
        <v>104.78326779771274</v>
      </c>
      <c r="O12" s="578"/>
    </row>
    <row r="13" spans="2:15" ht="14.1" customHeight="1" thickBot="1" x14ac:dyDescent="0.35">
      <c r="B13" s="252" t="s">
        <v>78</v>
      </c>
      <c r="C13" s="253">
        <f>IF(C$4&lt;&gt;0,ROUND(C11/C$4,4),0)</f>
        <v>0.1983</v>
      </c>
      <c r="D13" s="254">
        <f>IF(D$4&lt;&gt;0,ROUND(D11/D$4,4),0)</f>
        <v>0.19869999999999999</v>
      </c>
      <c r="E13" s="254">
        <f>IF(E$4&lt;&gt;0,ROUND(E11/E$4,4),0)</f>
        <v>0.2024</v>
      </c>
      <c r="F13" s="255">
        <f t="shared" si="0"/>
        <v>101.86210367388021</v>
      </c>
      <c r="O13" s="575">
        <f>ROUND(E13,3)</f>
        <v>0.20200000000000001</v>
      </c>
    </row>
  </sheetData>
  <customSheetViews>
    <customSheetView guid="{5507C501-9942-4310-9E0E-987180BD1180}">
      <selection activeCell="D21" sqref="D2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D21" sqref="D21"/>
      <pageMargins left="0.7" right="0.7" top="0.75" bottom="0.75" header="0.3" footer="0.3"/>
      <pageSetup paperSize="9" orientation="portrait" verticalDpi="0" r:id="rId2"/>
    </customSheetView>
  </customSheetViews>
  <mergeCells count="1">
    <mergeCell ref="B2:C2"/>
  </mergeCells>
  <pageMargins left="0.7" right="0.7" top="0.75" bottom="0.75" header="0.3" footer="0.3"/>
  <pageSetup paperSize="9" orientation="portrait" verticalDpi="0" r:id="rId3"/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99"/>
  <dimension ref="A1:N14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43.44140625" customWidth="1"/>
    <col min="2" max="4" width="9.5546875" customWidth="1"/>
    <col min="5" max="5" width="8.21875" bestFit="1" customWidth="1"/>
    <col min="7" max="7" width="0" style="549" hidden="1" customWidth="1"/>
    <col min="8" max="12" width="0" hidden="1" customWidth="1"/>
    <col min="13" max="14" width="5.77734375" customWidth="1"/>
  </cols>
  <sheetData>
    <row r="1" spans="1:14" hidden="1" x14ac:dyDescent="0.3"/>
    <row r="3" spans="1:14" x14ac:dyDescent="0.3">
      <c r="A3" s="45" t="s">
        <v>275</v>
      </c>
      <c r="B3" s="45"/>
      <c r="C3" s="45"/>
      <c r="D3" s="45"/>
      <c r="E3" s="241" t="s">
        <v>354</v>
      </c>
    </row>
    <row r="4" spans="1:14" ht="20.399999999999999" x14ac:dyDescent="0.3">
      <c r="A4" s="62" t="s">
        <v>10</v>
      </c>
      <c r="B4" s="158" t="s">
        <v>610</v>
      </c>
      <c r="C4" s="159" t="s">
        <v>617</v>
      </c>
      <c r="D4" s="159" t="s">
        <v>619</v>
      </c>
      <c r="E4" s="51" t="str">
        <f>IF(LEN(D4)&gt;5,"Индекс " &amp; MID(D4,1,2) &amp; "-" &amp; MID(D4,4,5) &amp; "/" &amp; C4,"Индекс " &amp; D4 &amp; "/" &amp; C4)</f>
        <v>Индекс 03-2025./2024.</v>
      </c>
    </row>
    <row r="5" spans="1:14" ht="14.1" customHeight="1" x14ac:dyDescent="0.3">
      <c r="A5" s="52" t="s">
        <v>80</v>
      </c>
      <c r="B5" s="94">
        <f>SUM(B6:B9)</f>
        <v>474.58100000000007</v>
      </c>
      <c r="C5" s="113">
        <f t="shared" ref="C5:D5" si="0">SUM(C6:C9)</f>
        <v>537.66</v>
      </c>
      <c r="D5" s="113">
        <f t="shared" si="0"/>
        <v>549.56899999999996</v>
      </c>
      <c r="E5" s="47">
        <f>IF(C5&lt;&gt;0,D5/C5*100,"-")</f>
        <v>102.21496856749619</v>
      </c>
    </row>
    <row r="6" spans="1:14" ht="14.1" customHeight="1" x14ac:dyDescent="0.3">
      <c r="A6" s="9" t="s">
        <v>81</v>
      </c>
      <c r="B6" s="102">
        <v>13.288</v>
      </c>
      <c r="C6" s="68">
        <v>16.266999999999999</v>
      </c>
      <c r="D6" s="68">
        <v>18.015000000000001</v>
      </c>
      <c r="E6" s="47">
        <f>IF(C6&lt;&gt;0,D6/C6*100,"-")</f>
        <v>110.74568144095409</v>
      </c>
      <c r="G6" s="549">
        <v>150</v>
      </c>
    </row>
    <row r="7" spans="1:14" ht="14.1" customHeight="1" x14ac:dyDescent="0.3">
      <c r="A7" s="9" t="s">
        <v>83</v>
      </c>
      <c r="B7" s="102">
        <v>151.59200000000001</v>
      </c>
      <c r="C7" s="68">
        <v>172.36699999999999</v>
      </c>
      <c r="D7" s="68">
        <v>159.97399999999999</v>
      </c>
      <c r="E7" s="47">
        <f t="shared" ref="E7:E14" si="1">IF(C7&lt;&gt;0,D7/C7*100,"-")</f>
        <v>92.810108663491278</v>
      </c>
      <c r="G7" s="549">
        <v>160</v>
      </c>
    </row>
    <row r="8" spans="1:14" ht="14.1" customHeight="1" x14ac:dyDescent="0.3">
      <c r="A8" s="9" t="s">
        <v>84</v>
      </c>
      <c r="B8" s="102">
        <v>308.55500000000001</v>
      </c>
      <c r="C8" s="68">
        <v>348.79300000000001</v>
      </c>
      <c r="D8" s="68">
        <v>371.24799999999999</v>
      </c>
      <c r="E8" s="47">
        <f t="shared" si="1"/>
        <v>106.43791589854155</v>
      </c>
      <c r="G8" s="549">
        <v>170</v>
      </c>
    </row>
    <row r="9" spans="1:14" ht="14.1" customHeight="1" x14ac:dyDescent="0.3">
      <c r="A9" s="9" t="s">
        <v>85</v>
      </c>
      <c r="B9" s="102">
        <v>1.1459999999999999</v>
      </c>
      <c r="C9" s="68">
        <v>0.23300000000000001</v>
      </c>
      <c r="D9" s="68">
        <v>0.33200000000000002</v>
      </c>
      <c r="E9" s="47">
        <f t="shared" si="1"/>
        <v>142.4892703862661</v>
      </c>
      <c r="G9" s="549">
        <v>180</v>
      </c>
    </row>
    <row r="10" spans="1:14" ht="14.1" customHeight="1" x14ac:dyDescent="0.3">
      <c r="A10" s="9" t="s">
        <v>82</v>
      </c>
      <c r="B10" s="94">
        <v>10030.576999999999</v>
      </c>
      <c r="C10" s="113">
        <v>10855.821</v>
      </c>
      <c r="D10" s="113">
        <v>11014.495000000001</v>
      </c>
      <c r="E10" s="47">
        <f t="shared" si="1"/>
        <v>101.46164900839835</v>
      </c>
      <c r="G10" s="549" t="s">
        <v>211</v>
      </c>
      <c r="H10" s="550" t="s">
        <v>213</v>
      </c>
      <c r="I10" s="549" t="s">
        <v>217</v>
      </c>
      <c r="J10" s="549" t="s">
        <v>220</v>
      </c>
      <c r="K10" s="549" t="s">
        <v>221</v>
      </c>
      <c r="L10" s="549" t="s">
        <v>231</v>
      </c>
      <c r="M10" s="549"/>
      <c r="N10" s="549"/>
    </row>
    <row r="11" spans="1:14" ht="14.1" customHeight="1" x14ac:dyDescent="0.3">
      <c r="A11" s="9" t="s">
        <v>86</v>
      </c>
      <c r="B11" s="102">
        <v>-42.938000000000002</v>
      </c>
      <c r="C11" s="68">
        <v>-19.939</v>
      </c>
      <c r="D11" s="68">
        <v>-19.425000000000001</v>
      </c>
      <c r="E11" s="47">
        <f t="shared" si="1"/>
        <v>97.422137519434287</v>
      </c>
      <c r="G11" s="549" t="s">
        <v>233</v>
      </c>
      <c r="H11" s="550">
        <v>235</v>
      </c>
      <c r="I11" s="550" t="s">
        <v>605</v>
      </c>
    </row>
    <row r="12" spans="1:14" ht="14.1" customHeight="1" x14ac:dyDescent="0.3">
      <c r="A12" s="9" t="s">
        <v>87</v>
      </c>
      <c r="B12" s="94">
        <v>10462.218999999999</v>
      </c>
      <c r="C12" s="113">
        <v>11373.540999999999</v>
      </c>
      <c r="D12" s="113">
        <v>11544.637000000001</v>
      </c>
      <c r="E12" s="95">
        <f t="shared" si="1"/>
        <v>101.50433361079018</v>
      </c>
      <c r="G12" s="549" t="s">
        <v>234</v>
      </c>
    </row>
    <row r="13" spans="1:14" ht="14.1" customHeight="1" x14ac:dyDescent="0.3">
      <c r="A13" s="9" t="s">
        <v>88</v>
      </c>
      <c r="B13" s="102">
        <v>1130.0150000000001</v>
      </c>
      <c r="C13" s="68">
        <v>1309.855</v>
      </c>
      <c r="D13" s="68">
        <v>1360.0319999999999</v>
      </c>
      <c r="E13" s="47">
        <f t="shared" si="1"/>
        <v>103.83072935553935</v>
      </c>
      <c r="G13" s="549" t="s">
        <v>235</v>
      </c>
    </row>
    <row r="14" spans="1:14" ht="14.1" customHeight="1" thickBot="1" x14ac:dyDescent="0.35">
      <c r="A14" s="80" t="s">
        <v>89</v>
      </c>
      <c r="B14" s="256">
        <f>IF(B12&lt;&gt;0,B13/B12,0)</f>
        <v>0.10800911355420874</v>
      </c>
      <c r="C14" s="257">
        <f t="shared" ref="C14:D14" si="2">IF(C12&lt;&gt;0,C13/C12,0)</f>
        <v>0.11516685964379959</v>
      </c>
      <c r="D14" s="257">
        <f t="shared" si="2"/>
        <v>0.11780638923510543</v>
      </c>
      <c r="E14" s="551">
        <f t="shared" si="1"/>
        <v>102.29191765710175</v>
      </c>
    </row>
  </sheetData>
  <customSheetViews>
    <customSheetView guid="{5507C501-9942-4310-9E0E-987180BD1180}">
      <selection activeCell="Z32" sqref="Z32"/>
      <pageMargins left="0.7" right="0.7" top="0.75" bottom="0.75" header="0.3" footer="0.3"/>
    </customSheetView>
  </customSheetViews>
  <pageMargins left="0.7" right="0.7" top="0.75" bottom="0.75" header="0.3" footer="0.3"/>
  <pageSetup orientation="portrait" verticalDpi="0" r:id="rId1"/>
  <ignoredErrors>
    <ignoredError sqref="A6:A9" numberStoredAsText="1"/>
    <ignoredError sqref="B5:D5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89"/>
  <dimension ref="A1:G6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9.44140625" customWidth="1"/>
    <col min="2" max="5" width="9.109375" customWidth="1"/>
    <col min="9" max="13" width="5.77734375" customWidth="1"/>
  </cols>
  <sheetData>
    <row r="1" spans="1:7" x14ac:dyDescent="0.3">
      <c r="A1" s="87"/>
    </row>
    <row r="2" spans="1:7" x14ac:dyDescent="0.3">
      <c r="A2" s="117" t="s">
        <v>427</v>
      </c>
      <c r="B2" s="117"/>
      <c r="C2" s="117"/>
      <c r="D2" s="117"/>
      <c r="E2" s="48"/>
      <c r="F2" s="48"/>
      <c r="G2" s="48" t="s">
        <v>354</v>
      </c>
    </row>
    <row r="3" spans="1:7" x14ac:dyDescent="0.3">
      <c r="A3" s="71" t="s">
        <v>10</v>
      </c>
      <c r="B3" s="538" t="s">
        <v>610</v>
      </c>
      <c r="C3" s="538" t="s">
        <v>622</v>
      </c>
      <c r="D3" s="538" t="s">
        <v>611</v>
      </c>
      <c r="E3" s="538" t="s">
        <v>627</v>
      </c>
      <c r="F3" s="538" t="s">
        <v>617</v>
      </c>
      <c r="G3" s="538" t="s">
        <v>619</v>
      </c>
    </row>
    <row r="4" spans="1:7" x14ac:dyDescent="0.3">
      <c r="A4" s="52" t="s">
        <v>90</v>
      </c>
      <c r="B4" s="6">
        <v>2354.5630000000001</v>
      </c>
      <c r="C4" s="6">
        <v>2427.9360000000001</v>
      </c>
      <c r="D4" s="6">
        <v>2175.6729999999998</v>
      </c>
      <c r="E4" s="6">
        <v>2133.21</v>
      </c>
      <c r="F4" s="6">
        <v>2342.0349999999999</v>
      </c>
      <c r="G4" s="6">
        <v>2348.7719999999999</v>
      </c>
    </row>
    <row r="5" spans="1:7" x14ac:dyDescent="0.3">
      <c r="A5" s="9" t="s">
        <v>108</v>
      </c>
      <c r="B5" s="6">
        <v>997.12</v>
      </c>
      <c r="C5" s="6">
        <v>949.649</v>
      </c>
      <c r="D5" s="6">
        <v>920.19100000000003</v>
      </c>
      <c r="E5" s="6">
        <v>908.38699999999994</v>
      </c>
      <c r="F5" s="6">
        <v>1106.8610000000001</v>
      </c>
      <c r="G5" s="6">
        <v>846.95100000000002</v>
      </c>
    </row>
    <row r="6" spans="1:7" ht="15" thickBot="1" x14ac:dyDescent="0.35">
      <c r="A6" s="75" t="s">
        <v>91</v>
      </c>
      <c r="B6" s="537">
        <f>IF(B5&lt;&gt;0,B4*100/B5,"-")</f>
        <v>236.1363727535302</v>
      </c>
      <c r="C6" s="537">
        <f>IF(C5&lt;&gt;0,C4*100/C5,"-")</f>
        <v>255.66667263378363</v>
      </c>
      <c r="D6" s="537">
        <f t="shared" ref="D6:E6" si="0">IF(D5&lt;&gt;0,D4*100/D5,"-")</f>
        <v>236.43710925231824</v>
      </c>
      <c r="E6" s="537">
        <f t="shared" si="0"/>
        <v>234.83493268838063</v>
      </c>
      <c r="F6" s="537">
        <f t="shared" ref="F6:G6" si="1">IF(F5&lt;&gt;0,F4*100/F5,"-")</f>
        <v>211.59251251963886</v>
      </c>
      <c r="G6" s="537">
        <f t="shared" si="1"/>
        <v>277.32088397085545</v>
      </c>
    </row>
  </sheetData>
  <pageMargins left="0.7" right="0.7" top="0.75" bottom="0.75" header="0.3" footer="0.3"/>
  <pageSetup paperSize="9" scale="84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F8338-B38A-4343-B58E-B567954BE577}">
  <sheetPr codeName="Sheet188"/>
  <dimension ref="A1:G6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0.33203125" bestFit="1" customWidth="1"/>
    <col min="2" max="5" width="9.109375" customWidth="1"/>
    <col min="9" max="13" width="5.77734375" customWidth="1"/>
  </cols>
  <sheetData>
    <row r="1" spans="1:7" x14ac:dyDescent="0.3">
      <c r="A1" s="87"/>
    </row>
    <row r="2" spans="1:7" x14ac:dyDescent="0.3">
      <c r="A2" s="117" t="s">
        <v>576</v>
      </c>
      <c r="B2" s="117"/>
      <c r="C2" s="117"/>
      <c r="D2" s="117"/>
      <c r="E2" s="48"/>
      <c r="F2" s="48"/>
      <c r="G2" s="48" t="s">
        <v>354</v>
      </c>
    </row>
    <row r="3" spans="1:7" x14ac:dyDescent="0.3">
      <c r="A3" s="71" t="s">
        <v>10</v>
      </c>
      <c r="B3" s="538" t="s">
        <v>610</v>
      </c>
      <c r="C3" s="538" t="s">
        <v>622</v>
      </c>
      <c r="D3" s="538" t="s">
        <v>611</v>
      </c>
      <c r="E3" s="538" t="s">
        <v>627</v>
      </c>
      <c r="F3" s="538" t="s">
        <v>617</v>
      </c>
      <c r="G3" s="538" t="s">
        <v>619</v>
      </c>
    </row>
    <row r="4" spans="1:7" x14ac:dyDescent="0.3">
      <c r="A4" s="52" t="s">
        <v>577</v>
      </c>
      <c r="B4" s="6">
        <v>7910.1559999999999</v>
      </c>
      <c r="C4" s="6">
        <v>8178.0810000000001</v>
      </c>
      <c r="D4" s="6">
        <v>8089.7709999999997</v>
      </c>
      <c r="E4" s="6">
        <v>8217.9590000000007</v>
      </c>
      <c r="F4" s="6">
        <v>8478.9459999999999</v>
      </c>
      <c r="G4" s="6">
        <v>8647.616</v>
      </c>
    </row>
    <row r="5" spans="1:7" x14ac:dyDescent="0.3">
      <c r="A5" s="9" t="s">
        <v>578</v>
      </c>
      <c r="B5" s="6">
        <v>4704.1639999999998</v>
      </c>
      <c r="C5" s="6">
        <v>4754.7740000000003</v>
      </c>
      <c r="D5" s="6">
        <v>4931.5190000000002</v>
      </c>
      <c r="E5" s="6">
        <v>5056.652</v>
      </c>
      <c r="F5" s="6">
        <v>5264.6490000000003</v>
      </c>
      <c r="G5" s="6">
        <v>5268.7340000000004</v>
      </c>
    </row>
    <row r="6" spans="1:7" ht="24.6" thickBot="1" x14ac:dyDescent="0.35">
      <c r="A6" s="75" t="s">
        <v>579</v>
      </c>
      <c r="B6" s="537">
        <f>IF(B5&lt;&gt;0,B4*100/B5,"-")</f>
        <v>168.15221578159264</v>
      </c>
      <c r="C6" s="537">
        <f>IF(C5&lt;&gt;0,C4*100/C5,"-")</f>
        <v>171.99726001698502</v>
      </c>
      <c r="D6" s="537">
        <f t="shared" ref="D6:G6" si="0">IF(D5&lt;&gt;0,D4*100/D5,"-")</f>
        <v>164.04217442942021</v>
      </c>
      <c r="E6" s="537">
        <f t="shared" si="0"/>
        <v>162.51778844974896</v>
      </c>
      <c r="F6" s="537">
        <f t="shared" si="0"/>
        <v>161.05434569332161</v>
      </c>
      <c r="G6" s="537">
        <f t="shared" si="0"/>
        <v>164.13081396783363</v>
      </c>
    </row>
  </sheetData>
  <pageMargins left="0.7" right="0.7" top="0.75" bottom="0.75" header="0.3" footer="0.3"/>
  <pageSetup paperSize="9" scale="84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19294-FB08-4486-8CE5-31F189643A6F}">
  <sheetPr codeName="Sheet13">
    <pageSetUpPr fitToPage="1"/>
  </sheetPr>
  <dimension ref="A1:FV16"/>
  <sheetViews>
    <sheetView showGridLines="0" topLeftCell="A2" zoomScaleNormal="100" workbookViewId="0">
      <selection activeCell="A3" sqref="A3"/>
    </sheetView>
  </sheetViews>
  <sheetFormatPr defaultColWidth="8.5546875" defaultRowHeight="14.4" x14ac:dyDescent="0.3"/>
  <cols>
    <col min="1" max="1" width="18.44140625" style="25" customWidth="1"/>
    <col min="2" max="2" width="8.5546875" style="25" customWidth="1"/>
    <col min="3" max="3" width="8" style="25" bestFit="1" customWidth="1"/>
    <col min="4" max="4" width="8.5546875" style="25" bestFit="1" customWidth="1"/>
    <col min="5" max="5" width="8" style="25" bestFit="1" customWidth="1"/>
    <col min="6" max="6" width="8.5546875" style="25" bestFit="1" customWidth="1"/>
    <col min="7" max="7" width="8" style="25" bestFit="1" customWidth="1"/>
    <col min="8" max="8" width="9.44140625" style="25" customWidth="1"/>
    <col min="9" max="9" width="9.109375" style="25" customWidth="1"/>
    <col min="10" max="10" width="10.5546875" style="25" customWidth="1"/>
    <col min="11" max="14" width="5.77734375" style="25" customWidth="1"/>
    <col min="15" max="16" width="8.88671875" style="25" bestFit="1" customWidth="1"/>
    <col min="17" max="16384" width="8.5546875" style="25"/>
  </cols>
  <sheetData>
    <row r="1" spans="1:178" hidden="1" x14ac:dyDescent="0.3"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</row>
    <row r="2" spans="1:178" x14ac:dyDescent="0.3"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</row>
    <row r="3" spans="1:178" ht="15" customHeight="1" x14ac:dyDescent="0.3">
      <c r="A3" s="45" t="s">
        <v>386</v>
      </c>
      <c r="B3" s="45"/>
      <c r="C3" s="45"/>
      <c r="D3" s="45"/>
      <c r="E3" s="45"/>
      <c r="F3" s="45"/>
      <c r="G3" s="45"/>
      <c r="H3" s="45"/>
      <c r="I3" s="241" t="s">
        <v>354</v>
      </c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</row>
    <row r="4" spans="1:178" ht="15.9" customHeight="1" x14ac:dyDescent="0.3">
      <c r="A4" s="820" t="s">
        <v>200</v>
      </c>
      <c r="B4" s="822" t="s">
        <v>610</v>
      </c>
      <c r="C4" s="823"/>
      <c r="D4" s="824" t="s">
        <v>617</v>
      </c>
      <c r="E4" s="823"/>
      <c r="F4" s="824" t="s">
        <v>619</v>
      </c>
      <c r="G4" s="823"/>
      <c r="H4" s="840" t="str">
        <f>IF(LEN(D4)&gt;5,"Индекс " &amp; MID(D4,1,2) &amp; "-" &amp; MID(D4,4,5) &amp; "/" &amp; B4,"Индекс " &amp; D4 &amp; "/" &amp; B4)</f>
        <v>Индекс 2024./2023.</v>
      </c>
      <c r="I4" s="841" t="str">
        <f>IF(LEN(F4)&gt;5,"Индекс " &amp; MID(F4,1,2) &amp; "-" &amp; MID(F4,4,5) &amp; "/" &amp; D4,"Индекс " &amp; F4 &amp; "/" &amp; D4)</f>
        <v>Индекс 03-2025./2024.</v>
      </c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</row>
    <row r="5" spans="1:178" s="176" customFormat="1" ht="14.1" customHeight="1" x14ac:dyDescent="0.3">
      <c r="A5" s="821"/>
      <c r="B5" s="173" t="s">
        <v>2</v>
      </c>
      <c r="C5" s="174" t="s">
        <v>387</v>
      </c>
      <c r="D5" s="175" t="s">
        <v>2</v>
      </c>
      <c r="E5" s="174" t="s">
        <v>3</v>
      </c>
      <c r="F5" s="175" t="s">
        <v>2</v>
      </c>
      <c r="G5" s="174" t="s">
        <v>3</v>
      </c>
      <c r="H5" s="842"/>
      <c r="I5" s="843"/>
      <c r="O5" s="25"/>
      <c r="P5" s="25"/>
      <c r="Q5" s="25"/>
      <c r="R5" s="25"/>
      <c r="S5" s="25"/>
      <c r="T5" s="25"/>
      <c r="U5" s="25"/>
      <c r="V5" s="2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</row>
    <row r="6" spans="1:178" s="176" customFormat="1" ht="14.1" customHeight="1" x14ac:dyDescent="0.3">
      <c r="A6" s="177" t="s">
        <v>388</v>
      </c>
      <c r="B6" s="178">
        <v>4309.9290000000001</v>
      </c>
      <c r="C6" s="179">
        <f t="shared" ref="C6:C15" si="0">IFERROR(B6/B$16*100,0)</f>
        <v>55.683067430463176</v>
      </c>
      <c r="D6" s="180">
        <v>4782.951</v>
      </c>
      <c r="E6" s="179">
        <f t="shared" ref="E6:E15" si="1">IFERROR(D6/D$16*100,0)</f>
        <v>57.252224187307554</v>
      </c>
      <c r="F6" s="180">
        <v>4851.8267699999997</v>
      </c>
      <c r="G6" s="179">
        <f t="shared" ref="G6:G15" si="2">IFERROR(F6/F$16*100,0)</f>
        <v>57.414305846423744</v>
      </c>
      <c r="H6" s="642">
        <f>IFERROR(D6/B6*100,0)</f>
        <v>110.97516919652273</v>
      </c>
      <c r="I6" s="181">
        <f>IFERROR(F6/D6*100,0)</f>
        <v>101.44002666972753</v>
      </c>
      <c r="O6" s="25"/>
      <c r="P6" s="25"/>
      <c r="Q6" s="25"/>
      <c r="R6" s="25"/>
      <c r="S6" s="25"/>
      <c r="T6" s="25"/>
      <c r="U6" s="25"/>
      <c r="V6" s="25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</row>
    <row r="7" spans="1:178" s="176" customFormat="1" ht="14.1" customHeight="1" x14ac:dyDescent="0.3">
      <c r="A7" s="177" t="s">
        <v>389</v>
      </c>
      <c r="B7" s="178">
        <v>69.734999999999999</v>
      </c>
      <c r="C7" s="179">
        <f t="shared" si="0"/>
        <v>0.90095653716415047</v>
      </c>
      <c r="D7" s="180">
        <v>84.950999999999993</v>
      </c>
      <c r="E7" s="179">
        <f t="shared" si="1"/>
        <v>1.0168688111034303</v>
      </c>
      <c r="F7" s="180">
        <v>32.645069999999997</v>
      </c>
      <c r="G7" s="179">
        <f t="shared" si="2"/>
        <v>0.38630687413390735</v>
      </c>
      <c r="H7" s="642">
        <f t="shared" ref="H7:H16" si="3">IFERROR(D7/B7*100,0)</f>
        <v>121.81974618197462</v>
      </c>
      <c r="I7" s="181">
        <f>IFERROR(F7/D7*100,0)</f>
        <v>38.428117385316241</v>
      </c>
      <c r="O7" s="25"/>
      <c r="P7" s="25"/>
      <c r="Q7" s="25"/>
      <c r="R7" s="25"/>
      <c r="S7" s="25"/>
      <c r="T7" s="25"/>
      <c r="U7" s="25"/>
      <c r="V7" s="25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14.1" customHeight="1" x14ac:dyDescent="0.3">
      <c r="A8" s="177" t="s">
        <v>390</v>
      </c>
      <c r="B8" s="178">
        <v>100.529</v>
      </c>
      <c r="C8" s="179">
        <f t="shared" si="0"/>
        <v>1.298806334331037</v>
      </c>
      <c r="D8" s="180">
        <v>149.59200000000001</v>
      </c>
      <c r="E8" s="179">
        <f t="shared" si="1"/>
        <v>1.7906256452612019</v>
      </c>
      <c r="F8" s="180">
        <v>67.525710000000004</v>
      </c>
      <c r="G8" s="179">
        <f t="shared" si="2"/>
        <v>0.79906846435840795</v>
      </c>
      <c r="H8" s="642">
        <f t="shared" si="3"/>
        <v>148.80482248903303</v>
      </c>
      <c r="I8" s="181">
        <f>IFERROR(F8/D8*100,0)</f>
        <v>45.139920583988449</v>
      </c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</row>
    <row r="9" spans="1:178" ht="14.1" customHeight="1" x14ac:dyDescent="0.3">
      <c r="A9" s="177" t="s">
        <v>391</v>
      </c>
      <c r="B9" s="178">
        <v>452.48200000000003</v>
      </c>
      <c r="C9" s="179">
        <f t="shared" si="0"/>
        <v>5.8459398558702107</v>
      </c>
      <c r="D9" s="180">
        <v>450.99799999999999</v>
      </c>
      <c r="E9" s="179">
        <f t="shared" si="1"/>
        <v>5.3984744154868674</v>
      </c>
      <c r="F9" s="180">
        <v>587.72285999999997</v>
      </c>
      <c r="G9" s="179">
        <f t="shared" si="2"/>
        <v>6.9548443579272483</v>
      </c>
      <c r="H9" s="642">
        <f t="shared" si="3"/>
        <v>99.672031152620434</v>
      </c>
      <c r="I9" s="181">
        <f t="shared" ref="I9:I16" si="4">IFERROR(F9/D9*100,0)</f>
        <v>130.31606792047859</v>
      </c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</row>
    <row r="10" spans="1:178" ht="14.1" customHeight="1" x14ac:dyDescent="0.3">
      <c r="A10" s="177" t="s">
        <v>392</v>
      </c>
      <c r="B10" s="178">
        <v>511.39100000000002</v>
      </c>
      <c r="C10" s="179">
        <f t="shared" si="0"/>
        <v>6.607027525588471</v>
      </c>
      <c r="D10" s="180">
        <v>642.99699999999996</v>
      </c>
      <c r="E10" s="179">
        <f t="shared" si="1"/>
        <v>7.6967145169930005</v>
      </c>
      <c r="F10" s="180">
        <v>648.63373999999999</v>
      </c>
      <c r="G10" s="179">
        <f t="shared" si="2"/>
        <v>7.6756359400419596</v>
      </c>
      <c r="H10" s="642">
        <f t="shared" si="3"/>
        <v>125.73490734095827</v>
      </c>
      <c r="I10" s="181">
        <f t="shared" si="4"/>
        <v>100.87663550529786</v>
      </c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</row>
    <row r="11" spans="1:178" ht="14.1" customHeight="1" x14ac:dyDescent="0.3">
      <c r="A11" s="177" t="s">
        <v>393</v>
      </c>
      <c r="B11" s="178">
        <v>987.43100000000004</v>
      </c>
      <c r="C11" s="179">
        <f t="shared" si="0"/>
        <v>12.75733009892499</v>
      </c>
      <c r="D11" s="180">
        <v>1033.078</v>
      </c>
      <c r="E11" s="179">
        <f t="shared" si="1"/>
        <v>12.366008612460238</v>
      </c>
      <c r="F11" s="180">
        <v>1049.3475800000001</v>
      </c>
      <c r="G11" s="179">
        <f t="shared" si="2"/>
        <v>12.417500820484696</v>
      </c>
      <c r="H11" s="642">
        <f t="shared" si="3"/>
        <v>104.62280402377482</v>
      </c>
      <c r="I11" s="181">
        <f t="shared" si="4"/>
        <v>101.57486462784031</v>
      </c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</row>
    <row r="12" spans="1:178" ht="14.1" customHeight="1" x14ac:dyDescent="0.3">
      <c r="A12" s="182" t="s">
        <v>394</v>
      </c>
      <c r="B12" s="183">
        <f>SUM(B6:B11)</f>
        <v>6431.4969999999994</v>
      </c>
      <c r="C12" s="184">
        <f t="shared" si="0"/>
        <v>83.093127782342023</v>
      </c>
      <c r="D12" s="185">
        <f>SUM(D6:D11)</f>
        <v>7144.5669999999991</v>
      </c>
      <c r="E12" s="184">
        <f t="shared" si="1"/>
        <v>85.520916188612276</v>
      </c>
      <c r="F12" s="185">
        <f>SUM(F6:F11)</f>
        <v>7237.7017299999989</v>
      </c>
      <c r="G12" s="184">
        <f t="shared" si="2"/>
        <v>85.647662303369955</v>
      </c>
      <c r="H12" s="643">
        <f t="shared" si="3"/>
        <v>111.08715435924171</v>
      </c>
      <c r="I12" s="186">
        <f t="shared" si="4"/>
        <v>101.30357417041509</v>
      </c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</row>
    <row r="13" spans="1:178" ht="14.1" customHeight="1" x14ac:dyDescent="0.3">
      <c r="A13" s="187" t="s">
        <v>575</v>
      </c>
      <c r="B13" s="178">
        <v>1299.1489999999999</v>
      </c>
      <c r="C13" s="179">
        <f t="shared" si="0"/>
        <v>16.784638765329731</v>
      </c>
      <c r="D13" s="180">
        <v>1197.739</v>
      </c>
      <c r="E13" s="179">
        <f t="shared" si="1"/>
        <v>14.337011135150989</v>
      </c>
      <c r="F13" s="180">
        <v>1200.77269</v>
      </c>
      <c r="G13" s="179">
        <f t="shared" si="2"/>
        <v>14.209396531214772</v>
      </c>
      <c r="H13" s="642">
        <f t="shared" si="3"/>
        <v>92.194120920695028</v>
      </c>
      <c r="I13" s="181">
        <f t="shared" si="4"/>
        <v>100.25328473064666</v>
      </c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</row>
    <row r="14" spans="1:178" ht="14.1" customHeight="1" x14ac:dyDescent="0.3">
      <c r="A14" s="187" t="s">
        <v>395</v>
      </c>
      <c r="B14" s="178">
        <v>9.4610000000000003</v>
      </c>
      <c r="C14" s="179">
        <f t="shared" si="0"/>
        <v>0.12223345232824302</v>
      </c>
      <c r="D14" s="180">
        <v>11.869</v>
      </c>
      <c r="E14" s="179">
        <f t="shared" si="1"/>
        <v>0.14207267623673195</v>
      </c>
      <c r="F14" s="180">
        <v>12.079319999999999</v>
      </c>
      <c r="G14" s="179">
        <f t="shared" si="2"/>
        <v>0.14294116541527371</v>
      </c>
      <c r="H14" s="642">
        <f t="shared" si="3"/>
        <v>125.45185498361695</v>
      </c>
      <c r="I14" s="181">
        <f t="shared" si="4"/>
        <v>101.7720111214087</v>
      </c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  <row r="15" spans="1:178" ht="14.1" customHeight="1" x14ac:dyDescent="0.3">
      <c r="A15" s="182" t="s">
        <v>396</v>
      </c>
      <c r="B15" s="183">
        <f>SUM(B13:B14)</f>
        <v>1308.6099999999999</v>
      </c>
      <c r="C15" s="184">
        <f t="shared" si="0"/>
        <v>16.906872217657973</v>
      </c>
      <c r="D15" s="185">
        <f>SUM(D13:D14)</f>
        <v>1209.6079999999999</v>
      </c>
      <c r="E15" s="184">
        <f t="shared" si="1"/>
        <v>14.479083811387719</v>
      </c>
      <c r="F15" s="185">
        <f>SUM(F13:F14)</f>
        <v>1212.8520100000001</v>
      </c>
      <c r="G15" s="184">
        <f t="shared" si="2"/>
        <v>14.352337696630046</v>
      </c>
      <c r="H15" s="643">
        <f t="shared" si="3"/>
        <v>92.434567976708109</v>
      </c>
      <c r="I15" s="186">
        <f t="shared" si="4"/>
        <v>100.26818688368463</v>
      </c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</row>
    <row r="16" spans="1:178" ht="14.1" customHeight="1" thickBot="1" x14ac:dyDescent="0.35">
      <c r="A16" s="188" t="s">
        <v>397</v>
      </c>
      <c r="B16" s="189">
        <f t="shared" ref="B16:F16" si="5">B12+B15</f>
        <v>7740.1069999999991</v>
      </c>
      <c r="C16" s="190">
        <f t="shared" si="5"/>
        <v>100</v>
      </c>
      <c r="D16" s="191">
        <f t="shared" si="5"/>
        <v>8354.1749999999993</v>
      </c>
      <c r="E16" s="190">
        <f t="shared" ref="E16:G16" si="6">E12+E15</f>
        <v>100</v>
      </c>
      <c r="F16" s="191">
        <f t="shared" si="5"/>
        <v>8450.5537399999994</v>
      </c>
      <c r="G16" s="190">
        <f t="shared" si="6"/>
        <v>100</v>
      </c>
      <c r="H16" s="644">
        <f t="shared" si="3"/>
        <v>107.93358541425849</v>
      </c>
      <c r="I16" s="192">
        <f t="shared" si="4"/>
        <v>101.15365957739692</v>
      </c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</row>
  </sheetData>
  <mergeCells count="6">
    <mergeCell ref="I4:I5"/>
    <mergeCell ref="A4:A5"/>
    <mergeCell ref="B4:C4"/>
    <mergeCell ref="D4:E4"/>
    <mergeCell ref="F4:G4"/>
    <mergeCell ref="H4:H5"/>
  </mergeCells>
  <pageMargins left="0.7" right="0.7" top="0.75" bottom="0.75" header="0.3" footer="0.3"/>
  <pageSetup fitToHeight="0" orientation="landscape" r:id="rId1"/>
  <ignoredErrors>
    <ignoredError sqref="C12:C15 D12 E12:E15 F12 D15 F15" formula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1E64-9BE2-4C31-8F0D-D97A8339F51E}">
  <sheetPr codeName="Sheet45"/>
  <dimension ref="A1:GA21"/>
  <sheetViews>
    <sheetView showGridLines="0" zoomScaleNormal="100" workbookViewId="0">
      <selection activeCell="A2" sqref="A2"/>
    </sheetView>
  </sheetViews>
  <sheetFormatPr defaultColWidth="8.5546875" defaultRowHeight="14.4" x14ac:dyDescent="0.3"/>
  <cols>
    <col min="1" max="1" width="50.6640625" style="25" customWidth="1"/>
    <col min="2" max="4" width="12.5546875" style="25" customWidth="1"/>
    <col min="5" max="5" width="10.44140625" style="25" customWidth="1"/>
    <col min="6" max="14" width="5.77734375" style="25" customWidth="1"/>
    <col min="15" max="16384" width="8.5546875" style="25"/>
  </cols>
  <sheetData>
    <row r="1" spans="1:183" x14ac:dyDescent="0.3"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</row>
    <row r="2" spans="1:183" ht="15" customHeight="1" x14ac:dyDescent="0.3">
      <c r="A2" s="45" t="s">
        <v>398</v>
      </c>
      <c r="B2" s="45"/>
      <c r="C2" s="45"/>
      <c r="D2" s="48" t="s">
        <v>3</v>
      </c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</row>
    <row r="3" spans="1:183" x14ac:dyDescent="0.3">
      <c r="A3" s="62" t="s">
        <v>10</v>
      </c>
      <c r="B3" s="158" t="str">
        <f>B12</f>
        <v>2023.</v>
      </c>
      <c r="C3" s="159" t="str">
        <f t="shared" ref="C3:D3" si="0">C12</f>
        <v>2024.</v>
      </c>
      <c r="D3" s="159" t="str">
        <f t="shared" si="0"/>
        <v>03/2025.</v>
      </c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</row>
    <row r="4" spans="1:183" ht="14.1" customHeight="1" x14ac:dyDescent="0.3">
      <c r="A4" s="52" t="s">
        <v>399</v>
      </c>
      <c r="B4" s="160">
        <f>IF(B14&lt;&gt;0,B13*100/B14,0)</f>
        <v>25.742088416249636</v>
      </c>
      <c r="C4" s="161">
        <f>IF(C14&lt;&gt;0,C13*100/C14,0)</f>
        <v>25.817073238134014</v>
      </c>
      <c r="D4" s="161">
        <f>IF(D14&lt;&gt;0,D13*100/D14,0)</f>
        <v>26.48112435921891</v>
      </c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</row>
    <row r="5" spans="1:183" ht="14.1" customHeight="1" x14ac:dyDescent="0.3">
      <c r="A5" s="52" t="s">
        <v>400</v>
      </c>
      <c r="B5" s="160">
        <f>IF(B15&lt;&gt;0,B13*100/B15,0)</f>
        <v>38.674335191251544</v>
      </c>
      <c r="C5" s="161">
        <f>IF(C15&lt;&gt;0,C13*100/C15,0)</f>
        <v>37.688943623551509</v>
      </c>
      <c r="D5" s="161">
        <f>IF(D15&lt;&gt;0,D13*100/D15,0)</f>
        <v>38.89295888086739</v>
      </c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</row>
    <row r="6" spans="1:183" ht="14.1" customHeight="1" x14ac:dyDescent="0.3">
      <c r="A6" s="52" t="s">
        <v>401</v>
      </c>
      <c r="B6" s="160">
        <f>IF(B16&lt;&gt;0,B15*100/B16,0)</f>
        <v>76.674413193687599</v>
      </c>
      <c r="C6" s="161">
        <f>IF(C16&lt;&gt;0,C15*100/C16,0)</f>
        <v>79.513116980086224</v>
      </c>
      <c r="D6" s="161">
        <f>IF(D16&lt;&gt;0,D15*100/D16,0)</f>
        <v>79.589772257749416</v>
      </c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</row>
    <row r="7" spans="1:183" ht="14.1" customHeight="1" x14ac:dyDescent="0.3">
      <c r="A7" s="52" t="s">
        <v>402</v>
      </c>
      <c r="B7" s="160">
        <f>IF(B18+B19&lt;&gt;0,B17*100/(B18+B19),0)</f>
        <v>71.607652204344902</v>
      </c>
      <c r="C7" s="161">
        <f>IF(C18+C19&lt;&gt;0,C17*100/(C18+C19),0)</f>
        <v>74.180160220813278</v>
      </c>
      <c r="D7" s="161">
        <f>IF(D18+D19&lt;&gt;0,D17*100/(D18+D19),0)</f>
        <v>73.415037656592048</v>
      </c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</row>
    <row r="8" spans="1:183" ht="14.1" customHeight="1" thickBot="1" x14ac:dyDescent="0.35">
      <c r="A8" s="57" t="s">
        <v>403</v>
      </c>
      <c r="B8" s="162">
        <f>IF(B18+B19+B20&lt;&gt;0,B17*100/(B18+B19+B20),0)</f>
        <v>71.012805546944207</v>
      </c>
      <c r="C8" s="163">
        <f>IF(C18+C19+C20&lt;&gt;0,C17*100/(C18+C19+C20),0)</f>
        <v>73.370073366095369</v>
      </c>
      <c r="D8" s="163">
        <f>IF(D18+D19+D20&lt;&gt;0,D17*100/(D18+D19+D20),0)</f>
        <v>72.683765971956561</v>
      </c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</row>
    <row r="9" spans="1:183" ht="25.5" customHeight="1" x14ac:dyDescent="0.3">
      <c r="A9" s="825" t="s">
        <v>404</v>
      </c>
      <c r="B9" s="825"/>
      <c r="C9" s="825"/>
      <c r="D9" s="825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</row>
    <row r="10" spans="1:183" ht="15.6" x14ac:dyDescent="0.3">
      <c r="B10" s="193"/>
      <c r="C10" s="193"/>
      <c r="D10" s="193"/>
    </row>
    <row r="11" spans="1:183" ht="15.6" x14ac:dyDescent="0.3">
      <c r="A11" s="194"/>
      <c r="B11" s="193"/>
      <c r="C11" s="193"/>
      <c r="D11" s="193"/>
    </row>
    <row r="12" spans="1:183" hidden="1" x14ac:dyDescent="0.3">
      <c r="A12" s="324" t="s">
        <v>134</v>
      </c>
      <c r="B12" s="322" t="s">
        <v>610</v>
      </c>
      <c r="C12" s="322" t="s">
        <v>617</v>
      </c>
      <c r="D12" s="322" t="s">
        <v>619</v>
      </c>
      <c r="E12"/>
      <c r="F12"/>
      <c r="G12"/>
      <c r="H12"/>
      <c r="I12"/>
      <c r="J12"/>
      <c r="K12"/>
      <c r="L12"/>
      <c r="M12"/>
      <c r="N12"/>
    </row>
    <row r="13" spans="1:183" customFormat="1" ht="14.1" hidden="1" customHeight="1" x14ac:dyDescent="0.3">
      <c r="A13" s="323" t="s">
        <v>405</v>
      </c>
      <c r="B13" s="281">
        <v>2582.08</v>
      </c>
      <c r="C13" s="281">
        <v>2802.6550000000002</v>
      </c>
      <c r="D13" s="281">
        <v>2916.76</v>
      </c>
    </row>
    <row r="14" spans="1:183" customFormat="1" ht="14.1" hidden="1" customHeight="1" x14ac:dyDescent="0.3">
      <c r="A14" s="323" t="s">
        <v>406</v>
      </c>
      <c r="B14" s="281">
        <v>10030.576999999999</v>
      </c>
      <c r="C14" s="281">
        <v>10855.82</v>
      </c>
      <c r="D14" s="281">
        <v>11014.486999999999</v>
      </c>
      <c r="X14" s="21"/>
    </row>
    <row r="15" spans="1:183" customFormat="1" ht="14.1" hidden="1" customHeight="1" x14ac:dyDescent="0.3">
      <c r="A15" s="323" t="s">
        <v>407</v>
      </c>
      <c r="B15" s="281">
        <v>6676.4690000000001</v>
      </c>
      <c r="C15" s="281">
        <v>7436.2790000000005</v>
      </c>
      <c r="D15" s="281">
        <v>7499.4551300000003</v>
      </c>
      <c r="X15" s="21"/>
    </row>
    <row r="16" spans="1:183" customFormat="1" ht="14.1" hidden="1" customHeight="1" x14ac:dyDescent="0.3">
      <c r="A16" s="323" t="s">
        <v>408</v>
      </c>
      <c r="B16" s="281">
        <v>8707.5580000000009</v>
      </c>
      <c r="C16" s="281">
        <v>9352.2669999999998</v>
      </c>
      <c r="D16" s="281">
        <v>9422.6367499999997</v>
      </c>
      <c r="X16" s="21"/>
    </row>
    <row r="17" spans="1:24" customFormat="1" ht="14.1" hidden="1" customHeight="1" x14ac:dyDescent="0.3">
      <c r="A17" s="323" t="s">
        <v>409</v>
      </c>
      <c r="B17" s="281">
        <v>6056.5429999999997</v>
      </c>
      <c r="C17" s="281">
        <v>6695.1629999999996</v>
      </c>
      <c r="D17" s="281">
        <v>6700.7520000000004</v>
      </c>
      <c r="X17" s="21"/>
    </row>
    <row r="18" spans="1:24" customFormat="1" ht="14.1" hidden="1" customHeight="1" x14ac:dyDescent="0.3">
      <c r="A18" s="323" t="s">
        <v>410</v>
      </c>
      <c r="B18" s="281">
        <v>7740.107</v>
      </c>
      <c r="C18" s="281">
        <v>8354.1749999999993</v>
      </c>
      <c r="D18" s="281">
        <v>8450.5540000000001</v>
      </c>
      <c r="X18" s="21"/>
    </row>
    <row r="19" spans="1:24" customFormat="1" ht="14.1" hidden="1" customHeight="1" x14ac:dyDescent="0.3">
      <c r="A19" s="323" t="s">
        <v>411</v>
      </c>
      <c r="B19" s="281">
        <v>717.84799999999996</v>
      </c>
      <c r="C19" s="281">
        <v>671.36900000000003</v>
      </c>
      <c r="D19" s="281">
        <v>676.66600000000005</v>
      </c>
      <c r="X19" s="21"/>
    </row>
    <row r="20" spans="1:24" customFormat="1" ht="14.1" hidden="1" customHeight="1" x14ac:dyDescent="0.3">
      <c r="A20" s="323" t="s">
        <v>412</v>
      </c>
      <c r="B20" s="281">
        <v>70.849000000000004</v>
      </c>
      <c r="C20" s="281">
        <v>99.652000000000001</v>
      </c>
      <c r="D20" s="281">
        <v>91.828999999999994</v>
      </c>
      <c r="X20" s="21"/>
    </row>
    <row r="21" spans="1:24" x14ac:dyDescent="0.3">
      <c r="E21"/>
      <c r="F21"/>
      <c r="G21"/>
      <c r="H21"/>
      <c r="I21"/>
      <c r="J21"/>
      <c r="K21"/>
      <c r="L21"/>
      <c r="M21"/>
      <c r="N21"/>
    </row>
  </sheetData>
  <mergeCells count="1">
    <mergeCell ref="A9:D9"/>
  </mergeCells>
  <pageMargins left="0.7" right="0.7" top="0.75" bottom="0.75" header="0.3" footer="0.3"/>
  <pageSetup orientation="portrait" r:id="rId1"/>
  <ignoredErrors>
    <ignoredError sqref="B5:D5" formula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01"/>
  <dimension ref="A1:FQ9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12" style="3" customWidth="1"/>
    <col min="2" max="2" width="10.6640625" style="3" customWidth="1"/>
    <col min="3" max="3" width="8.33203125" style="3" customWidth="1"/>
    <col min="4" max="4" width="10.6640625" style="3" customWidth="1"/>
    <col min="5" max="5" width="8.33203125" style="3" customWidth="1"/>
    <col min="6" max="6" width="10.6640625" style="3" customWidth="1"/>
    <col min="7" max="7" width="8.33203125" style="3" customWidth="1"/>
    <col min="8" max="8" width="10.6640625" style="3" customWidth="1"/>
    <col min="9" max="9" width="8.33203125" style="3" customWidth="1"/>
    <col min="10" max="16384" width="9.109375" style="3"/>
  </cols>
  <sheetData>
    <row r="1" spans="1:173" ht="14.4" x14ac:dyDescent="0.3">
      <c r="B1" s="118"/>
      <c r="C1" s="118"/>
      <c r="D1" s="118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5" customHeight="1" x14ac:dyDescent="0.3">
      <c r="A2" s="45" t="s">
        <v>314</v>
      </c>
      <c r="B2" s="45"/>
      <c r="C2" s="45"/>
      <c r="D2" s="45"/>
      <c r="E2" s="45"/>
      <c r="F2" s="45"/>
      <c r="G2" s="45"/>
      <c r="H2" s="45"/>
      <c r="I2" s="241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4.4" x14ac:dyDescent="0.3">
      <c r="A3" s="728" t="s">
        <v>31</v>
      </c>
      <c r="B3" s="744" t="s">
        <v>145</v>
      </c>
      <c r="C3" s="829"/>
      <c r="D3" s="828" t="s">
        <v>146</v>
      </c>
      <c r="E3" s="826"/>
      <c r="F3" s="826"/>
      <c r="G3" s="827"/>
      <c r="H3" s="742" t="s">
        <v>16</v>
      </c>
      <c r="I3" s="742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22.5" customHeight="1" x14ac:dyDescent="0.3">
      <c r="A4" s="728"/>
      <c r="B4" s="828"/>
      <c r="C4" s="827"/>
      <c r="D4" s="828" t="s">
        <v>118</v>
      </c>
      <c r="E4" s="826"/>
      <c r="F4" s="826" t="s">
        <v>119</v>
      </c>
      <c r="G4" s="827"/>
      <c r="H4" s="826"/>
      <c r="I4" s="826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29.25" customHeight="1" x14ac:dyDescent="0.3">
      <c r="A5" s="729"/>
      <c r="B5" s="148" t="s">
        <v>120</v>
      </c>
      <c r="C5" s="149" t="s">
        <v>418</v>
      </c>
      <c r="D5" s="148" t="s">
        <v>120</v>
      </c>
      <c r="E5" s="259" t="s">
        <v>418</v>
      </c>
      <c r="F5" s="259" t="s">
        <v>120</v>
      </c>
      <c r="G5" s="149" t="s">
        <v>418</v>
      </c>
      <c r="H5" s="259" t="s">
        <v>120</v>
      </c>
      <c r="I5" s="259" t="s">
        <v>447</v>
      </c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4.1" customHeight="1" x14ac:dyDescent="0.3">
      <c r="A6" s="707" t="s">
        <v>628</v>
      </c>
      <c r="B6" s="103">
        <v>1398146</v>
      </c>
      <c r="C6" s="708">
        <v>1375.4059999999999</v>
      </c>
      <c r="D6" s="103">
        <v>2965387</v>
      </c>
      <c r="E6" s="68">
        <v>3118.9830000000002</v>
      </c>
      <c r="F6" s="47">
        <v>1523591</v>
      </c>
      <c r="G6" s="708">
        <v>2936.8510000000001</v>
      </c>
      <c r="H6" s="47">
        <f t="shared" ref="H6:H8" si="0">B6+D6+F6</f>
        <v>5887124</v>
      </c>
      <c r="I6" s="68">
        <f t="shared" ref="I6:I8" si="1">C6+E6+G6</f>
        <v>7431.24</v>
      </c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707" t="s">
        <v>629</v>
      </c>
      <c r="B7" s="103">
        <v>1502148</v>
      </c>
      <c r="C7" s="708">
        <v>1414.211</v>
      </c>
      <c r="D7" s="103">
        <v>3161351</v>
      </c>
      <c r="E7" s="68">
        <v>3720.8119999999999</v>
      </c>
      <c r="F7" s="47">
        <v>1638013</v>
      </c>
      <c r="G7" s="708">
        <v>3479.2280000000001</v>
      </c>
      <c r="H7" s="47">
        <f t="shared" si="0"/>
        <v>6301512</v>
      </c>
      <c r="I7" s="68">
        <f t="shared" si="1"/>
        <v>8614.2510000000002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707" t="s">
        <v>619</v>
      </c>
      <c r="B8" s="103">
        <v>1607884</v>
      </c>
      <c r="C8" s="708">
        <v>1514.5029999999999</v>
      </c>
      <c r="D8" s="103">
        <v>3486456</v>
      </c>
      <c r="E8" s="68">
        <v>4375.6970000000001</v>
      </c>
      <c r="F8" s="47">
        <v>1725849</v>
      </c>
      <c r="G8" s="708">
        <v>3624.6129999999998</v>
      </c>
      <c r="H8" s="47">
        <f t="shared" si="0"/>
        <v>6820189</v>
      </c>
      <c r="I8" s="68">
        <f t="shared" si="1"/>
        <v>9514.8130000000001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thickBot="1" x14ac:dyDescent="0.35">
      <c r="A9" s="709" t="s">
        <v>30</v>
      </c>
      <c r="B9" s="710">
        <f t="shared" ref="B9:I9" si="2">SUM(B6:B8)</f>
        <v>4508178</v>
      </c>
      <c r="C9" s="276">
        <f t="shared" si="2"/>
        <v>4304.12</v>
      </c>
      <c r="D9" s="710">
        <f t="shared" si="2"/>
        <v>9613194</v>
      </c>
      <c r="E9" s="277">
        <f t="shared" si="2"/>
        <v>11215.492</v>
      </c>
      <c r="F9" s="82">
        <f t="shared" si="2"/>
        <v>4887453</v>
      </c>
      <c r="G9" s="276">
        <f t="shared" si="2"/>
        <v>10040.691999999999</v>
      </c>
      <c r="H9" s="82">
        <f t="shared" si="2"/>
        <v>19008825</v>
      </c>
      <c r="I9" s="277">
        <f t="shared" si="2"/>
        <v>25560.304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</sheetData>
  <mergeCells count="6">
    <mergeCell ref="A3:A5"/>
    <mergeCell ref="H3:I4"/>
    <mergeCell ref="F4:G4"/>
    <mergeCell ref="D4:E4"/>
    <mergeCell ref="D3:G3"/>
    <mergeCell ref="B3:C4"/>
  </mergeCells>
  <pageMargins left="0.7" right="0.7" top="0.75" bottom="0.75" header="0.3" footer="0.3"/>
  <pageSetup paperSize="9" scale="99" orientation="portrait" verticalDpi="0" r:id="rId1"/>
  <colBreaks count="1" manualBreakCount="1">
    <brk id="9" max="1048575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07">
    <tabColor theme="0" tint="-4.9989318521683403E-2"/>
  </sheetPr>
  <dimension ref="A1:FQ13"/>
  <sheetViews>
    <sheetView showGridLines="0" topLeftCell="B1" zoomScaleNormal="100" workbookViewId="0">
      <selection activeCell="B2" sqref="B2"/>
    </sheetView>
  </sheetViews>
  <sheetFormatPr defaultColWidth="9.109375" defaultRowHeight="12" x14ac:dyDescent="0.25"/>
  <cols>
    <col min="1" max="1" width="9.5546875" style="3" hidden="1" customWidth="1"/>
    <col min="2" max="2" width="34.77734375" style="3" customWidth="1"/>
    <col min="3" max="3" width="12.88671875" style="3" customWidth="1"/>
    <col min="4" max="4" width="26" style="3" customWidth="1"/>
    <col min="5" max="5" width="27.77734375" style="3" customWidth="1"/>
    <col min="6" max="6" width="9.109375" style="3"/>
    <col min="7" max="7" width="12.44140625" style="3" customWidth="1"/>
    <col min="8" max="8" width="12.109375" style="3" customWidth="1"/>
    <col min="9" max="9" width="9.33203125" style="3" customWidth="1"/>
    <col min="10" max="10" width="9.6640625" style="3" customWidth="1"/>
    <col min="11" max="16384" width="9.109375" style="3"/>
  </cols>
  <sheetData>
    <row r="1" spans="2:173" ht="14.4" x14ac:dyDescent="0.3">
      <c r="B1" s="118"/>
      <c r="C1" s="118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2:173" x14ac:dyDescent="0.25">
      <c r="B2" s="45" t="s">
        <v>276</v>
      </c>
      <c r="C2" s="45"/>
      <c r="D2" s="45"/>
      <c r="E2" s="45"/>
      <c r="F2" s="45"/>
      <c r="G2" s="45"/>
      <c r="H2" s="45"/>
      <c r="I2" s="45"/>
      <c r="J2" s="241" t="s">
        <v>422</v>
      </c>
    </row>
    <row r="3" spans="2:173" x14ac:dyDescent="0.25">
      <c r="B3" s="834" t="s">
        <v>122</v>
      </c>
      <c r="C3" s="830" t="s">
        <v>123</v>
      </c>
      <c r="D3" s="830" t="s">
        <v>124</v>
      </c>
      <c r="E3" s="830" t="s">
        <v>125</v>
      </c>
      <c r="F3" s="831" t="s">
        <v>619</v>
      </c>
      <c r="G3" s="832"/>
      <c r="H3" s="832"/>
      <c r="I3" s="832"/>
      <c r="J3" s="833"/>
    </row>
    <row r="4" spans="2:173" ht="24" customHeight="1" x14ac:dyDescent="0.25">
      <c r="B4" s="834"/>
      <c r="C4" s="830"/>
      <c r="D4" s="830"/>
      <c r="E4" s="830"/>
      <c r="F4" s="282" t="s">
        <v>424</v>
      </c>
      <c r="G4" s="282" t="s">
        <v>139</v>
      </c>
      <c r="H4" s="282" t="s">
        <v>133</v>
      </c>
      <c r="I4" s="282" t="s">
        <v>200</v>
      </c>
      <c r="J4" s="283" t="s">
        <v>1</v>
      </c>
    </row>
    <row r="5" spans="2:173" ht="15" customHeight="1" x14ac:dyDescent="0.25">
      <c r="B5" s="284" t="s">
        <v>590</v>
      </c>
      <c r="C5" s="645" t="s">
        <v>630</v>
      </c>
      <c r="D5" s="645" t="s">
        <v>638</v>
      </c>
      <c r="E5" s="646" t="s">
        <v>640</v>
      </c>
      <c r="F5" s="285">
        <v>3195.7150000000001</v>
      </c>
      <c r="G5" s="285">
        <v>412.92099999999999</v>
      </c>
      <c r="H5" s="285">
        <v>1880.0070000000001</v>
      </c>
      <c r="I5" s="285">
        <v>2427.8389999999999</v>
      </c>
      <c r="J5" s="651">
        <v>700</v>
      </c>
    </row>
    <row r="6" spans="2:173" ht="15" customHeight="1" x14ac:dyDescent="0.25">
      <c r="B6" s="286" t="s">
        <v>591</v>
      </c>
      <c r="C6" s="647" t="s">
        <v>630</v>
      </c>
      <c r="D6" s="647" t="s">
        <v>636</v>
      </c>
      <c r="E6" s="648" t="s">
        <v>641</v>
      </c>
      <c r="F6" s="287">
        <v>2375.5729999999999</v>
      </c>
      <c r="G6" s="287">
        <v>271.96100000000001</v>
      </c>
      <c r="H6" s="287">
        <v>1328.4570000000001</v>
      </c>
      <c r="I6" s="287">
        <v>1874.71</v>
      </c>
      <c r="J6" s="652">
        <v>535</v>
      </c>
    </row>
    <row r="7" spans="2:173" ht="15" customHeight="1" x14ac:dyDescent="0.25">
      <c r="B7" s="286" t="s">
        <v>592</v>
      </c>
      <c r="C7" s="647" t="s">
        <v>630</v>
      </c>
      <c r="D7" s="647" t="s">
        <v>637</v>
      </c>
      <c r="E7" s="648" t="s">
        <v>633</v>
      </c>
      <c r="F7" s="287">
        <v>1391.1220000000001</v>
      </c>
      <c r="G7" s="287">
        <v>268.404</v>
      </c>
      <c r="H7" s="287">
        <v>854.17100000000005</v>
      </c>
      <c r="I7" s="287">
        <v>1045.4369999999999</v>
      </c>
      <c r="J7" s="652">
        <v>374</v>
      </c>
    </row>
    <row r="8" spans="2:173" ht="15" customHeight="1" x14ac:dyDescent="0.25">
      <c r="B8" s="286" t="s">
        <v>593</v>
      </c>
      <c r="C8" s="647" t="s">
        <v>630</v>
      </c>
      <c r="D8" s="647" t="s">
        <v>631</v>
      </c>
      <c r="E8" s="648" t="s">
        <v>642</v>
      </c>
      <c r="F8" s="287">
        <v>1293.7550000000001</v>
      </c>
      <c r="G8" s="287">
        <v>206.285</v>
      </c>
      <c r="H8" s="287">
        <v>810.48099999999999</v>
      </c>
      <c r="I8" s="287">
        <v>962.87800000000004</v>
      </c>
      <c r="J8" s="652">
        <v>416</v>
      </c>
    </row>
    <row r="9" spans="2:173" ht="15" customHeight="1" x14ac:dyDescent="0.25">
      <c r="B9" s="286" t="s">
        <v>594</v>
      </c>
      <c r="C9" s="647" t="s">
        <v>630</v>
      </c>
      <c r="D9" s="647" t="s">
        <v>634</v>
      </c>
      <c r="E9" s="648" t="s">
        <v>643</v>
      </c>
      <c r="F9" s="287">
        <v>1060.7529999999999</v>
      </c>
      <c r="G9" s="287">
        <v>207.15899999999999</v>
      </c>
      <c r="H9" s="287">
        <v>723.74900000000002</v>
      </c>
      <c r="I9" s="287">
        <v>803.51099999999997</v>
      </c>
      <c r="J9" s="652">
        <v>356</v>
      </c>
    </row>
    <row r="10" spans="2:173" ht="15" customHeight="1" x14ac:dyDescent="0.25">
      <c r="B10" s="286" t="s">
        <v>595</v>
      </c>
      <c r="C10" s="647" t="s">
        <v>630</v>
      </c>
      <c r="D10" s="647" t="s">
        <v>635</v>
      </c>
      <c r="E10" s="648" t="s">
        <v>644</v>
      </c>
      <c r="F10" s="287">
        <v>837.44100000000003</v>
      </c>
      <c r="G10" s="287">
        <v>112.589</v>
      </c>
      <c r="H10" s="287">
        <v>658.77599999999995</v>
      </c>
      <c r="I10" s="287">
        <v>654.61900000000003</v>
      </c>
      <c r="J10" s="652">
        <v>333</v>
      </c>
    </row>
    <row r="11" spans="2:173" ht="15" customHeight="1" x14ac:dyDescent="0.25">
      <c r="B11" s="286" t="s">
        <v>596</v>
      </c>
      <c r="C11" s="647" t="s">
        <v>630</v>
      </c>
      <c r="D11" s="647" t="s">
        <v>632</v>
      </c>
      <c r="E11" s="648" t="s">
        <v>645</v>
      </c>
      <c r="F11" s="287">
        <v>527.327</v>
      </c>
      <c r="G11" s="287">
        <v>60.107999999999997</v>
      </c>
      <c r="H11" s="287">
        <v>237.76</v>
      </c>
      <c r="I11" s="287">
        <v>418.536</v>
      </c>
      <c r="J11" s="652">
        <v>203</v>
      </c>
    </row>
    <row r="12" spans="2:173" ht="15" customHeight="1" x14ac:dyDescent="0.25">
      <c r="B12" s="288" t="s">
        <v>621</v>
      </c>
      <c r="C12" s="649" t="s">
        <v>630</v>
      </c>
      <c r="D12" s="649" t="s">
        <v>639</v>
      </c>
      <c r="E12" s="650" t="s">
        <v>646</v>
      </c>
      <c r="F12" s="289">
        <v>332.80099999999999</v>
      </c>
      <c r="G12" s="289">
        <v>37.447000000000003</v>
      </c>
      <c r="H12" s="289">
        <v>207.351</v>
      </c>
      <c r="I12" s="289">
        <v>263.024</v>
      </c>
      <c r="J12" s="653">
        <v>210</v>
      </c>
    </row>
    <row r="13" spans="2:173" ht="15" customHeight="1" thickBot="1" x14ac:dyDescent="0.3">
      <c r="B13" s="290"/>
      <c r="C13" s="291"/>
      <c r="D13" s="292"/>
      <c r="E13" s="293" t="s">
        <v>30</v>
      </c>
      <c r="F13" s="293">
        <f>SUM(F5:F12)</f>
        <v>11014.487000000001</v>
      </c>
      <c r="G13" s="293">
        <f t="shared" ref="G13:I13" si="0">SUM(G5:G12)</f>
        <v>1576.8739999999998</v>
      </c>
      <c r="H13" s="293">
        <f t="shared" si="0"/>
        <v>6700.7519999999995</v>
      </c>
      <c r="I13" s="293">
        <f t="shared" si="0"/>
        <v>8450.5540000000001</v>
      </c>
      <c r="J13" s="654">
        <f>SUM(J5:J12)</f>
        <v>3127</v>
      </c>
    </row>
  </sheetData>
  <sortState xmlns:xlrd2="http://schemas.microsoft.com/office/spreadsheetml/2017/richdata2" ref="B23:K30">
    <sortCondition ref="B23:B30"/>
  </sortState>
  <mergeCells count="5">
    <mergeCell ref="C3:C4"/>
    <mergeCell ref="D3:D4"/>
    <mergeCell ref="E3:E4"/>
    <mergeCell ref="F3:J3"/>
    <mergeCell ref="B3:B4"/>
  </mergeCells>
  <pageMargins left="0.7" right="0.7" top="0.75" bottom="0.75" header="0.3" footer="0.3"/>
  <pageSetup paperSize="9" scale="94" orientation="landscape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0" tint="-4.9989318521683403E-2"/>
  </sheetPr>
  <dimension ref="A1:HQ48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53.33203125" style="3" bestFit="1" customWidth="1"/>
    <col min="2" max="2" width="7.5546875" style="3" customWidth="1"/>
    <col min="3" max="3" width="5.6640625" style="3" bestFit="1" customWidth="1"/>
    <col min="4" max="4" width="7.5546875" style="3" customWidth="1"/>
    <col min="5" max="5" width="5.6640625" style="3" bestFit="1" customWidth="1"/>
    <col min="6" max="6" width="7.5546875" style="3" customWidth="1"/>
    <col min="7" max="7" width="5.6640625" style="3" bestFit="1" customWidth="1"/>
    <col min="8" max="8" width="10.77734375" style="3" customWidth="1"/>
    <col min="9" max="9" width="9.109375" style="3" hidden="1" customWidth="1"/>
    <col min="10" max="16384" width="9.109375" style="3"/>
  </cols>
  <sheetData>
    <row r="1" spans="1:225" ht="14.4" x14ac:dyDescent="0.3"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225" ht="15" thickBot="1" x14ac:dyDescent="0.35">
      <c r="A2" s="45" t="s">
        <v>535</v>
      </c>
      <c r="B2" s="45"/>
      <c r="C2" s="45"/>
      <c r="D2" s="45"/>
      <c r="E2" s="45"/>
      <c r="F2" s="45"/>
      <c r="G2" s="45"/>
      <c r="H2" s="48" t="s">
        <v>536</v>
      </c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225" ht="31.2" customHeight="1" x14ac:dyDescent="0.3">
      <c r="A3" s="402"/>
      <c r="B3" s="403" t="s">
        <v>580</v>
      </c>
      <c r="C3" s="424" t="s">
        <v>3</v>
      </c>
      <c r="D3" s="403" t="s">
        <v>622</v>
      </c>
      <c r="E3" s="424" t="s">
        <v>3</v>
      </c>
      <c r="F3" s="403" t="s">
        <v>619</v>
      </c>
      <c r="G3" s="424" t="s">
        <v>3</v>
      </c>
      <c r="H3" s="552" t="str">
        <f>IF(LEN(F3)&gt;5,"Индекс " &amp; MID(F3,1,2) &amp; "-" &amp; MID(F3,4,5) &amp; "/" &amp; IF(LEN(D3)&gt;5,MID(D3,1,2) &amp; "-" &amp; MID(D3,4,5),D3),"Индекс " &amp; F3 &amp; "/" &amp; IF(LEN(D3)&gt;5,MID(D3,1,2) &amp; "-" &amp; MID(D3,4,5),D3))</f>
        <v>Индекс 03-2025./03-2024.</v>
      </c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  <c r="AB3" s="404"/>
      <c r="AC3" s="404"/>
      <c r="AD3" s="404"/>
      <c r="AE3" s="404"/>
      <c r="AF3" s="404"/>
      <c r="AG3" s="404"/>
      <c r="AH3" s="404"/>
      <c r="AI3" s="404"/>
      <c r="AJ3" s="404"/>
      <c r="AK3" s="404"/>
      <c r="AL3" s="404"/>
      <c r="AM3" s="404"/>
      <c r="AN3" s="404"/>
      <c r="AO3" s="404"/>
      <c r="AP3" s="404"/>
      <c r="AQ3" s="404"/>
      <c r="AR3" s="404"/>
      <c r="AS3" s="404"/>
      <c r="AT3" s="404"/>
      <c r="AU3" s="404"/>
      <c r="AV3" s="404"/>
      <c r="AW3" s="404"/>
      <c r="AX3" s="404"/>
      <c r="AY3" s="404"/>
      <c r="AZ3" s="404"/>
      <c r="BA3" s="404"/>
      <c r="BB3" s="404"/>
      <c r="BC3" s="404"/>
      <c r="BD3" s="404"/>
      <c r="BE3" s="404"/>
      <c r="BF3" s="404"/>
      <c r="BG3" s="404"/>
      <c r="BH3" s="404"/>
      <c r="BI3" s="404"/>
      <c r="BJ3" s="404"/>
      <c r="BK3" s="404"/>
      <c r="BL3" s="404"/>
      <c r="BM3" s="404"/>
      <c r="BN3" s="404"/>
      <c r="BO3" s="404"/>
      <c r="BP3" s="404"/>
      <c r="BQ3" s="404"/>
      <c r="BR3" s="404"/>
      <c r="BS3" s="404"/>
      <c r="BT3" s="404"/>
      <c r="BU3" s="404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 s="404"/>
      <c r="FS3" s="404"/>
      <c r="FT3" s="404"/>
      <c r="FU3" s="404"/>
      <c r="FV3" s="404"/>
      <c r="FW3" s="404"/>
      <c r="FX3" s="404"/>
      <c r="FY3" s="404"/>
      <c r="FZ3" s="404"/>
      <c r="GA3" s="404"/>
      <c r="GB3" s="404"/>
      <c r="GC3" s="404"/>
      <c r="GD3" s="404"/>
      <c r="GE3" s="404"/>
      <c r="GF3" s="404"/>
      <c r="GG3" s="404"/>
      <c r="GH3" s="404"/>
      <c r="GI3" s="404"/>
      <c r="GJ3" s="404"/>
      <c r="GK3" s="404"/>
      <c r="GL3" s="404"/>
      <c r="GM3" s="404"/>
      <c r="GN3" s="404"/>
      <c r="GO3" s="404"/>
      <c r="GP3" s="404"/>
      <c r="GQ3" s="404"/>
      <c r="GR3" s="404"/>
      <c r="GS3" s="404"/>
      <c r="GT3" s="404"/>
      <c r="GU3" s="404"/>
      <c r="GV3" s="404"/>
      <c r="GW3" s="404"/>
      <c r="GX3" s="404"/>
      <c r="GY3" s="404"/>
      <c r="GZ3" s="404"/>
      <c r="HA3" s="404"/>
      <c r="HB3" s="404"/>
      <c r="HC3" s="404"/>
      <c r="HD3" s="404"/>
      <c r="HE3" s="404"/>
      <c r="HF3" s="404"/>
      <c r="HG3" s="404"/>
      <c r="HH3" s="404"/>
      <c r="HI3" s="404"/>
      <c r="HJ3" s="404"/>
      <c r="HK3" s="404"/>
      <c r="HL3" s="404"/>
      <c r="HM3" s="404"/>
      <c r="HN3" s="404"/>
      <c r="HO3" s="404"/>
      <c r="HP3" s="404"/>
      <c r="HQ3" s="404"/>
    </row>
    <row r="4" spans="1:225" ht="14.4" x14ac:dyDescent="0.3">
      <c r="A4" s="408" t="s">
        <v>495</v>
      </c>
      <c r="B4" s="411"/>
      <c r="C4" s="425"/>
      <c r="D4" s="411"/>
      <c r="E4" s="425"/>
      <c r="F4" s="411"/>
      <c r="G4" s="425"/>
      <c r="H4" s="412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404"/>
      <c r="AA4" s="404"/>
      <c r="AB4" s="404"/>
      <c r="AC4" s="404"/>
      <c r="AD4" s="404"/>
      <c r="AE4" s="404"/>
      <c r="AF4" s="404"/>
      <c r="AG4" s="404"/>
      <c r="AH4" s="404"/>
      <c r="AI4" s="404"/>
      <c r="AJ4" s="404"/>
      <c r="AK4" s="404"/>
      <c r="AL4" s="404"/>
      <c r="AM4" s="404"/>
      <c r="AN4" s="404"/>
      <c r="AO4" s="404"/>
      <c r="AP4" s="404"/>
      <c r="AQ4" s="404"/>
      <c r="AR4" s="404"/>
      <c r="AS4" s="404"/>
      <c r="AT4" s="404"/>
      <c r="AU4" s="404"/>
      <c r="AV4" s="404"/>
      <c r="AW4" s="404"/>
      <c r="AX4" s="404"/>
      <c r="AY4" s="404"/>
      <c r="AZ4" s="404"/>
      <c r="BA4" s="404"/>
      <c r="BB4" s="404"/>
      <c r="BC4" s="404"/>
      <c r="BD4" s="404"/>
      <c r="BE4" s="404"/>
      <c r="BF4" s="404"/>
      <c r="BG4" s="404"/>
      <c r="BH4" s="404"/>
      <c r="BI4" s="404"/>
      <c r="BJ4" s="404"/>
      <c r="BK4" s="404"/>
      <c r="BL4" s="404"/>
      <c r="BM4" s="404"/>
      <c r="BN4" s="404"/>
      <c r="BO4" s="404"/>
      <c r="BP4" s="404"/>
      <c r="BQ4" s="404"/>
      <c r="BR4" s="404"/>
      <c r="BS4" s="404"/>
      <c r="BT4" s="404"/>
      <c r="BU4" s="40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 s="404"/>
      <c r="FS4" s="404"/>
      <c r="FT4" s="404"/>
      <c r="FU4" s="404"/>
      <c r="FV4" s="404"/>
      <c r="FW4" s="404"/>
      <c r="FX4" s="404"/>
      <c r="FY4" s="404"/>
      <c r="FZ4" s="404"/>
      <c r="GA4" s="404"/>
      <c r="GB4" s="404"/>
      <c r="GC4" s="404"/>
      <c r="GD4" s="404"/>
      <c r="GE4" s="404"/>
      <c r="GF4" s="404"/>
      <c r="GG4" s="404"/>
      <c r="GH4" s="404"/>
      <c r="GI4" s="404"/>
      <c r="GJ4" s="404"/>
      <c r="GK4" s="404"/>
      <c r="GL4" s="404"/>
      <c r="GM4" s="404"/>
      <c r="GN4" s="404"/>
      <c r="GO4" s="404"/>
      <c r="GP4" s="404"/>
      <c r="GQ4" s="404"/>
      <c r="GR4" s="404"/>
      <c r="GS4" s="404"/>
      <c r="GT4" s="404"/>
      <c r="GU4" s="404"/>
      <c r="GV4" s="404"/>
      <c r="GW4" s="404"/>
      <c r="GX4" s="404"/>
      <c r="GY4" s="404"/>
      <c r="GZ4" s="404"/>
      <c r="HA4" s="404"/>
      <c r="HB4" s="404"/>
      <c r="HC4" s="404"/>
      <c r="HD4" s="404"/>
      <c r="HE4" s="404"/>
      <c r="HF4" s="404"/>
      <c r="HG4" s="404"/>
      <c r="HH4" s="404"/>
      <c r="HI4" s="404"/>
      <c r="HJ4" s="404"/>
      <c r="HK4" s="404"/>
      <c r="HL4" s="404"/>
      <c r="HM4" s="404"/>
      <c r="HN4" s="404"/>
      <c r="HO4" s="404"/>
      <c r="HP4" s="404"/>
      <c r="HQ4" s="404"/>
    </row>
    <row r="5" spans="1:225" ht="14.4" x14ac:dyDescent="0.3">
      <c r="A5" s="147" t="s">
        <v>100</v>
      </c>
      <c r="B5" s="405"/>
      <c r="C5" s="426"/>
      <c r="D5" s="405"/>
      <c r="E5" s="426"/>
      <c r="F5" s="405"/>
      <c r="G5" s="426"/>
      <c r="H5" s="406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4"/>
      <c r="AA5" s="404"/>
      <c r="AB5" s="404"/>
      <c r="AC5" s="404"/>
      <c r="AD5" s="404"/>
      <c r="AE5" s="404"/>
      <c r="AF5" s="404"/>
      <c r="AG5" s="404"/>
      <c r="AH5" s="404"/>
      <c r="AI5" s="404"/>
      <c r="AJ5" s="404"/>
      <c r="AK5" s="404"/>
      <c r="AL5" s="404"/>
      <c r="AM5" s="404"/>
      <c r="AN5" s="404"/>
      <c r="AO5" s="404"/>
      <c r="AP5" s="404"/>
      <c r="AQ5" s="404"/>
      <c r="AR5" s="404"/>
      <c r="AS5" s="404"/>
      <c r="AT5" s="404"/>
      <c r="AU5" s="404"/>
      <c r="AV5" s="404"/>
      <c r="AW5" s="404"/>
      <c r="AX5" s="404"/>
      <c r="AY5" s="404"/>
      <c r="AZ5" s="404"/>
      <c r="BA5" s="404"/>
      <c r="BB5" s="404"/>
      <c r="BC5" s="404"/>
      <c r="BD5" s="404"/>
      <c r="BE5" s="404"/>
      <c r="BF5" s="404"/>
      <c r="BG5" s="404"/>
      <c r="BH5" s="404"/>
      <c r="BI5" s="404"/>
      <c r="BJ5" s="404"/>
      <c r="BK5" s="404"/>
      <c r="BL5" s="404"/>
      <c r="BM5" s="404"/>
      <c r="BN5" s="404"/>
      <c r="BO5" s="404"/>
      <c r="BP5" s="404"/>
      <c r="BQ5" s="404"/>
      <c r="BR5" s="404"/>
      <c r="BS5" s="404"/>
      <c r="BT5" s="404"/>
      <c r="BU5" s="404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 s="404"/>
      <c r="FS5" s="404"/>
      <c r="FT5" s="404"/>
      <c r="FU5" s="404"/>
      <c r="FV5" s="404"/>
      <c r="FW5" s="404"/>
      <c r="FX5" s="404"/>
      <c r="FY5" s="404"/>
      <c r="FZ5" s="404"/>
      <c r="GA5" s="404"/>
      <c r="GB5" s="404"/>
      <c r="GC5" s="404"/>
      <c r="GD5" s="404"/>
      <c r="GE5" s="404"/>
      <c r="GF5" s="404"/>
      <c r="GG5" s="404"/>
      <c r="GH5" s="404"/>
      <c r="GI5" s="404"/>
      <c r="GJ5" s="404"/>
      <c r="GK5" s="404"/>
      <c r="GL5" s="404"/>
      <c r="GM5" s="404"/>
      <c r="GN5" s="404"/>
      <c r="GO5" s="404"/>
      <c r="GP5" s="404"/>
      <c r="GQ5" s="404"/>
      <c r="GR5" s="404"/>
      <c r="GS5" s="404"/>
      <c r="GT5" s="404"/>
      <c r="GU5" s="404"/>
      <c r="GV5" s="404"/>
      <c r="GW5" s="404"/>
      <c r="GX5" s="404"/>
      <c r="GY5" s="404"/>
      <c r="GZ5" s="404"/>
      <c r="HA5" s="404"/>
      <c r="HB5" s="404"/>
      <c r="HC5" s="404"/>
      <c r="HD5" s="404"/>
      <c r="HE5" s="404"/>
      <c r="HF5" s="404"/>
      <c r="HG5" s="404"/>
      <c r="HH5" s="404"/>
      <c r="HI5" s="404"/>
      <c r="HJ5" s="404"/>
      <c r="HK5" s="404"/>
      <c r="HL5" s="404"/>
      <c r="HM5" s="404"/>
      <c r="HN5" s="404"/>
      <c r="HO5" s="404"/>
      <c r="HP5" s="404"/>
      <c r="HQ5" s="404"/>
    </row>
    <row r="6" spans="1:225" ht="14.4" x14ac:dyDescent="0.3">
      <c r="A6" s="147" t="s">
        <v>207</v>
      </c>
      <c r="B6" s="711">
        <v>2.016</v>
      </c>
      <c r="C6" s="712">
        <f>IF(B$13&lt;&gt;0,B6*100/B$13,"-")</f>
        <v>2.1571187057287764</v>
      </c>
      <c r="D6" s="711">
        <v>7.0419999999999998</v>
      </c>
      <c r="E6" s="712">
        <f>IF(D$13&lt;&gt;0,D6*100/D$13,"-")</f>
        <v>6.1921301384919758</v>
      </c>
      <c r="F6" s="711">
        <v>5.4370000000000003</v>
      </c>
      <c r="G6" s="712">
        <f>IF(F$13&lt;&gt;0,F6*100/F$13,"-")</f>
        <v>4.6336225263767927</v>
      </c>
      <c r="H6" s="713">
        <f>IF(D6&lt;&gt;0,F6*100/D6,"-")</f>
        <v>77.208179494461803</v>
      </c>
      <c r="I6" s="404" t="s">
        <v>315</v>
      </c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4"/>
      <c r="AI6" s="404"/>
      <c r="AJ6" s="404"/>
      <c r="AK6" s="404"/>
      <c r="AL6" s="404"/>
      <c r="AM6" s="404"/>
      <c r="AN6" s="404"/>
      <c r="AO6" s="404"/>
      <c r="AP6" s="404"/>
      <c r="AQ6" s="404"/>
      <c r="AR6" s="404"/>
      <c r="AS6" s="404"/>
      <c r="AT6" s="404"/>
      <c r="AU6" s="404"/>
      <c r="AV6" s="404"/>
      <c r="AW6" s="404"/>
      <c r="AX6" s="404"/>
      <c r="AY6" s="404"/>
      <c r="AZ6" s="404"/>
      <c r="BA6" s="404"/>
      <c r="BB6" s="404"/>
      <c r="BC6" s="404"/>
      <c r="BD6" s="404"/>
      <c r="BE6" s="404"/>
      <c r="BF6" s="404"/>
      <c r="BG6" s="404"/>
      <c r="BH6" s="404"/>
      <c r="BI6" s="404"/>
      <c r="BJ6" s="404"/>
      <c r="BK6" s="404"/>
      <c r="BL6" s="404"/>
      <c r="BM6" s="404"/>
      <c r="BN6" s="404"/>
      <c r="BO6" s="404"/>
      <c r="BP6" s="404"/>
      <c r="BQ6" s="404"/>
      <c r="BR6" s="404"/>
      <c r="BS6" s="404"/>
      <c r="BT6" s="404"/>
      <c r="BU6" s="404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 s="404"/>
      <c r="FS6" s="404"/>
      <c r="FT6" s="404"/>
      <c r="FU6" s="404"/>
      <c r="FV6" s="404"/>
      <c r="FW6" s="404"/>
      <c r="FX6" s="404"/>
      <c r="FY6" s="404"/>
      <c r="FZ6" s="404"/>
      <c r="GA6" s="404"/>
      <c r="GB6" s="404"/>
      <c r="GC6" s="404"/>
      <c r="GD6" s="404"/>
      <c r="GE6" s="404"/>
      <c r="GF6" s="404"/>
      <c r="GG6" s="404"/>
      <c r="GH6" s="404"/>
      <c r="GI6" s="404"/>
      <c r="GJ6" s="404"/>
      <c r="GK6" s="404"/>
      <c r="GL6" s="404"/>
      <c r="GM6" s="404"/>
      <c r="GN6" s="404"/>
      <c r="GO6" s="404"/>
      <c r="GP6" s="404"/>
      <c r="GQ6" s="404"/>
      <c r="GR6" s="404"/>
      <c r="GS6" s="404"/>
      <c r="GT6" s="404"/>
      <c r="GU6" s="404"/>
      <c r="GV6" s="404"/>
      <c r="GW6" s="404"/>
      <c r="GX6" s="404"/>
      <c r="GY6" s="404"/>
      <c r="GZ6" s="404"/>
      <c r="HA6" s="404"/>
      <c r="HB6" s="404"/>
      <c r="HC6" s="404"/>
      <c r="HD6" s="404"/>
      <c r="HE6" s="404"/>
      <c r="HF6" s="404"/>
      <c r="HG6" s="404"/>
      <c r="HH6" s="404"/>
      <c r="HI6" s="404"/>
      <c r="HJ6" s="404"/>
      <c r="HK6" s="404"/>
      <c r="HL6" s="404"/>
      <c r="HM6" s="404"/>
      <c r="HN6" s="404"/>
      <c r="HO6" s="404"/>
      <c r="HP6" s="404"/>
      <c r="HQ6" s="404"/>
    </row>
    <row r="7" spans="1:225" ht="14.4" x14ac:dyDescent="0.3">
      <c r="A7" s="147" t="s">
        <v>496</v>
      </c>
      <c r="B7" s="711">
        <v>0.33</v>
      </c>
      <c r="C7" s="712">
        <f t="shared" ref="C7:E12" si="0">IF(B$13&lt;&gt;0,B7*100/B$13,"-")</f>
        <v>0.3530997881401271</v>
      </c>
      <c r="D7" s="711">
        <v>1.4850000000000001</v>
      </c>
      <c r="E7" s="712">
        <f t="shared" si="0"/>
        <v>1.3057814904374589</v>
      </c>
      <c r="F7" s="711">
        <v>1.554</v>
      </c>
      <c r="G7" s="712">
        <f t="shared" ref="G7" si="1">IF(F$13&lt;&gt;0,F7*100/F$13,"-")</f>
        <v>1.324379144011318</v>
      </c>
      <c r="H7" s="713">
        <f t="shared" ref="H7:H48" si="2">IF(D7&lt;&gt;0,F7*100/D7,"-")</f>
        <v>104.64646464646464</v>
      </c>
      <c r="I7" s="404" t="s">
        <v>316</v>
      </c>
      <c r="J7" s="404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4"/>
      <c r="AJ7" s="404"/>
      <c r="AK7" s="404"/>
      <c r="AL7" s="404"/>
      <c r="AM7" s="404"/>
      <c r="AN7" s="404"/>
      <c r="AO7" s="404"/>
      <c r="AP7" s="404"/>
      <c r="AQ7" s="404"/>
      <c r="AR7" s="404"/>
      <c r="AS7" s="404"/>
      <c r="AT7" s="404"/>
      <c r="AU7" s="404"/>
      <c r="AV7" s="404"/>
      <c r="AW7" s="404"/>
      <c r="AX7" s="404"/>
      <c r="AY7" s="404"/>
      <c r="AZ7" s="404"/>
      <c r="BA7" s="404"/>
      <c r="BB7" s="404"/>
      <c r="BC7" s="404"/>
      <c r="BD7" s="404"/>
      <c r="BE7" s="404"/>
      <c r="BF7" s="404"/>
      <c r="BG7" s="404"/>
      <c r="BH7" s="404"/>
      <c r="BI7" s="404"/>
      <c r="BJ7" s="404"/>
      <c r="BK7" s="404"/>
      <c r="BL7" s="404"/>
      <c r="BM7" s="404"/>
      <c r="BN7" s="404"/>
      <c r="BO7" s="404"/>
      <c r="BP7" s="404"/>
      <c r="BQ7" s="404"/>
      <c r="BR7" s="404"/>
      <c r="BS7" s="404"/>
      <c r="BT7" s="404"/>
      <c r="BU7" s="404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 s="404"/>
      <c r="FS7" s="404"/>
      <c r="FT7" s="404"/>
      <c r="FU7" s="404"/>
      <c r="FV7" s="404"/>
      <c r="FW7" s="404"/>
      <c r="FX7" s="404"/>
      <c r="FY7" s="404"/>
      <c r="FZ7" s="404"/>
      <c r="GA7" s="404"/>
      <c r="GB7" s="404"/>
      <c r="GC7" s="404"/>
      <c r="GD7" s="404"/>
      <c r="GE7" s="404"/>
      <c r="GF7" s="404"/>
      <c r="GG7" s="404"/>
      <c r="GH7" s="404"/>
      <c r="GI7" s="404"/>
      <c r="GJ7" s="404"/>
      <c r="GK7" s="404"/>
      <c r="GL7" s="404"/>
      <c r="GM7" s="404"/>
      <c r="GN7" s="404"/>
      <c r="GO7" s="404"/>
      <c r="GP7" s="404"/>
      <c r="GQ7" s="404"/>
      <c r="GR7" s="404"/>
      <c r="GS7" s="404"/>
      <c r="GT7" s="404"/>
      <c r="GU7" s="404"/>
      <c r="GV7" s="404"/>
      <c r="GW7" s="404"/>
      <c r="GX7" s="404"/>
      <c r="GY7" s="404"/>
      <c r="GZ7" s="404"/>
      <c r="HA7" s="404"/>
      <c r="HB7" s="404"/>
      <c r="HC7" s="404"/>
      <c r="HD7" s="404"/>
      <c r="HE7" s="404"/>
      <c r="HF7" s="404"/>
      <c r="HG7" s="404"/>
      <c r="HH7" s="404"/>
      <c r="HI7" s="404"/>
      <c r="HJ7" s="404"/>
      <c r="HK7" s="404"/>
      <c r="HL7" s="404"/>
      <c r="HM7" s="404"/>
      <c r="HN7" s="404"/>
      <c r="HO7" s="404"/>
      <c r="HP7" s="404"/>
      <c r="HQ7" s="404"/>
    </row>
    <row r="8" spans="1:225" ht="14.4" x14ac:dyDescent="0.3">
      <c r="A8" s="147" t="s">
        <v>497</v>
      </c>
      <c r="B8" s="711">
        <v>76.510000000000005</v>
      </c>
      <c r="C8" s="712">
        <f t="shared" si="0"/>
        <v>81.865650880609479</v>
      </c>
      <c r="D8" s="711">
        <v>86.542000000000002</v>
      </c>
      <c r="E8" s="712">
        <f t="shared" si="0"/>
        <v>76.097603868982205</v>
      </c>
      <c r="F8" s="711">
        <v>91.430999999999997</v>
      </c>
      <c r="G8" s="712">
        <f t="shared" ref="G8" si="3">IF(F$13&lt;&gt;0,F8*100/F$13,"-")</f>
        <v>77.921048594658174</v>
      </c>
      <c r="H8" s="713">
        <f t="shared" si="2"/>
        <v>105.64928011832406</v>
      </c>
      <c r="I8" s="404" t="s">
        <v>317</v>
      </c>
      <c r="J8" s="404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4"/>
      <c r="AJ8" s="404"/>
      <c r="AK8" s="404"/>
      <c r="AL8" s="404"/>
      <c r="AM8" s="404"/>
      <c r="AN8" s="404"/>
      <c r="AO8" s="404"/>
      <c r="AP8" s="404"/>
      <c r="AQ8" s="404"/>
      <c r="AR8" s="404"/>
      <c r="AS8" s="404"/>
      <c r="AT8" s="404"/>
      <c r="AU8" s="404"/>
      <c r="AV8" s="404"/>
      <c r="AW8" s="404"/>
      <c r="AX8" s="404"/>
      <c r="AY8" s="404"/>
      <c r="AZ8" s="404"/>
      <c r="BA8" s="404"/>
      <c r="BB8" s="404"/>
      <c r="BC8" s="404"/>
      <c r="BD8" s="404"/>
      <c r="BE8" s="404"/>
      <c r="BF8" s="404"/>
      <c r="BG8" s="404"/>
      <c r="BH8" s="404"/>
      <c r="BI8" s="404"/>
      <c r="BJ8" s="404"/>
      <c r="BK8" s="404"/>
      <c r="BL8" s="404"/>
      <c r="BM8" s="404"/>
      <c r="BN8" s="404"/>
      <c r="BO8" s="404"/>
      <c r="BP8" s="404"/>
      <c r="BQ8" s="404"/>
      <c r="BR8" s="404"/>
      <c r="BS8" s="404"/>
      <c r="BT8" s="404"/>
      <c r="BU8" s="404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 s="404"/>
      <c r="FS8" s="404"/>
      <c r="FT8" s="404"/>
      <c r="FU8" s="404"/>
      <c r="FV8" s="404"/>
      <c r="FW8" s="404"/>
      <c r="FX8" s="404"/>
      <c r="FY8" s="404"/>
      <c r="FZ8" s="404"/>
      <c r="GA8" s="404"/>
      <c r="GB8" s="404"/>
      <c r="GC8" s="404"/>
      <c r="GD8" s="404"/>
      <c r="GE8" s="404"/>
      <c r="GF8" s="404"/>
      <c r="GG8" s="404"/>
      <c r="GH8" s="404"/>
      <c r="GI8" s="404"/>
      <c r="GJ8" s="404"/>
      <c r="GK8" s="404"/>
      <c r="GL8" s="404"/>
      <c r="GM8" s="404"/>
      <c r="GN8" s="404"/>
      <c r="GO8" s="404"/>
      <c r="GP8" s="404"/>
      <c r="GQ8" s="404"/>
      <c r="GR8" s="404"/>
      <c r="GS8" s="404"/>
      <c r="GT8" s="404"/>
      <c r="GU8" s="404"/>
      <c r="GV8" s="404"/>
      <c r="GW8" s="404"/>
      <c r="GX8" s="404"/>
      <c r="GY8" s="404"/>
      <c r="GZ8" s="404"/>
      <c r="HA8" s="404"/>
      <c r="HB8" s="404"/>
      <c r="HC8" s="404"/>
      <c r="HD8" s="404"/>
      <c r="HE8" s="404"/>
      <c r="HF8" s="404"/>
      <c r="HG8" s="404"/>
      <c r="HH8" s="404"/>
      <c r="HI8" s="404"/>
      <c r="HJ8" s="404"/>
      <c r="HK8" s="404"/>
      <c r="HL8" s="404"/>
      <c r="HM8" s="404"/>
      <c r="HN8" s="404"/>
      <c r="HO8" s="404"/>
      <c r="HP8" s="404"/>
      <c r="HQ8" s="404"/>
    </row>
    <row r="9" spans="1:225" ht="14.4" x14ac:dyDescent="0.3">
      <c r="A9" s="147" t="s">
        <v>498</v>
      </c>
      <c r="B9" s="711">
        <v>7.1180000000000003</v>
      </c>
      <c r="C9" s="712">
        <f t="shared" si="0"/>
        <v>7.6162554302467429</v>
      </c>
      <c r="D9" s="711">
        <v>11.441000000000001</v>
      </c>
      <c r="E9" s="712">
        <f t="shared" si="0"/>
        <v>10.06023301824577</v>
      </c>
      <c r="F9" s="711">
        <v>12.609</v>
      </c>
      <c r="G9" s="712">
        <f t="shared" ref="G9" si="4">IF(F$13&lt;&gt;0,F9*100/F$13,"-")</f>
        <v>10.745879425250134</v>
      </c>
      <c r="H9" s="713">
        <f t="shared" si="2"/>
        <v>110.20889782361682</v>
      </c>
      <c r="I9" s="404" t="s">
        <v>318</v>
      </c>
      <c r="J9" s="404"/>
      <c r="K9" s="404"/>
      <c r="L9" s="404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4"/>
      <c r="AJ9" s="404"/>
      <c r="AK9" s="404"/>
      <c r="AL9" s="404"/>
      <c r="AM9" s="404"/>
      <c r="AN9" s="404"/>
      <c r="AO9" s="404"/>
      <c r="AP9" s="404"/>
      <c r="AQ9" s="404"/>
      <c r="AR9" s="404"/>
      <c r="AS9" s="404"/>
      <c r="AT9" s="404"/>
      <c r="AU9" s="404"/>
      <c r="AV9" s="404"/>
      <c r="AW9" s="404"/>
      <c r="AX9" s="404"/>
      <c r="AY9" s="404"/>
      <c r="AZ9" s="404"/>
      <c r="BA9" s="404"/>
      <c r="BB9" s="404"/>
      <c r="BC9" s="404"/>
      <c r="BD9" s="404"/>
      <c r="BE9" s="404"/>
      <c r="BF9" s="404"/>
      <c r="BG9" s="404"/>
      <c r="BH9" s="404"/>
      <c r="BI9" s="404"/>
      <c r="BJ9" s="404"/>
      <c r="BK9" s="404"/>
      <c r="BL9" s="404"/>
      <c r="BM9" s="404"/>
      <c r="BN9" s="404"/>
      <c r="BO9" s="404"/>
      <c r="BP9" s="404"/>
      <c r="BQ9" s="404"/>
      <c r="BR9" s="404"/>
      <c r="BS9" s="404"/>
      <c r="BT9" s="404"/>
      <c r="BU9" s="404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 s="404"/>
      <c r="FS9" s="404"/>
      <c r="FT9" s="404"/>
      <c r="FU9" s="404"/>
      <c r="FV9" s="404"/>
      <c r="FW9" s="404"/>
      <c r="FX9" s="404"/>
      <c r="FY9" s="404"/>
      <c r="FZ9" s="404"/>
      <c r="GA9" s="404"/>
      <c r="GB9" s="404"/>
      <c r="GC9" s="404"/>
      <c r="GD9" s="404"/>
      <c r="GE9" s="404"/>
      <c r="GF9" s="404"/>
      <c r="GG9" s="404"/>
      <c r="GH9" s="404"/>
      <c r="GI9" s="404"/>
      <c r="GJ9" s="404"/>
      <c r="GK9" s="404"/>
      <c r="GL9" s="404"/>
      <c r="GM9" s="404"/>
      <c r="GN9" s="404"/>
      <c r="GO9" s="404"/>
      <c r="GP9" s="404"/>
      <c r="GQ9" s="404"/>
      <c r="GR9" s="404"/>
      <c r="GS9" s="404"/>
      <c r="GT9" s="404"/>
      <c r="GU9" s="404"/>
      <c r="GV9" s="404"/>
      <c r="GW9" s="404"/>
      <c r="GX9" s="404"/>
      <c r="GY9" s="404"/>
      <c r="GZ9" s="404"/>
      <c r="HA9" s="404"/>
      <c r="HB9" s="404"/>
      <c r="HC9" s="404"/>
      <c r="HD9" s="404"/>
      <c r="HE9" s="404"/>
      <c r="HF9" s="404"/>
      <c r="HG9" s="404"/>
      <c r="HH9" s="404"/>
      <c r="HI9" s="404"/>
      <c r="HJ9" s="404"/>
      <c r="HK9" s="404"/>
      <c r="HL9" s="404"/>
      <c r="HM9" s="404"/>
      <c r="HN9" s="404"/>
      <c r="HO9" s="404"/>
      <c r="HP9" s="404"/>
      <c r="HQ9" s="404"/>
    </row>
    <row r="10" spans="1:225" ht="14.4" x14ac:dyDescent="0.3">
      <c r="A10" s="147" t="s">
        <v>499</v>
      </c>
      <c r="B10" s="711">
        <v>0</v>
      </c>
      <c r="C10" s="712">
        <f t="shared" si="0"/>
        <v>0</v>
      </c>
      <c r="D10" s="711">
        <v>0</v>
      </c>
      <c r="E10" s="712">
        <f t="shared" si="0"/>
        <v>0</v>
      </c>
      <c r="F10" s="711">
        <v>0</v>
      </c>
      <c r="G10" s="712">
        <f t="shared" ref="G10" si="5">IF(F$13&lt;&gt;0,F10*100/F$13,"-")</f>
        <v>0</v>
      </c>
      <c r="H10" s="713" t="str">
        <f t="shared" si="2"/>
        <v>-</v>
      </c>
      <c r="I10" s="404" t="s">
        <v>319</v>
      </c>
      <c r="J10" s="404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4"/>
      <c r="AJ10" s="404"/>
      <c r="AK10" s="404"/>
      <c r="AL10" s="404"/>
      <c r="AM10" s="404"/>
      <c r="AN10" s="404"/>
      <c r="AO10" s="404"/>
      <c r="AP10" s="404"/>
      <c r="AQ10" s="404"/>
      <c r="AR10" s="404"/>
      <c r="AS10" s="404"/>
      <c r="AT10" s="404"/>
      <c r="AU10" s="404"/>
      <c r="AV10" s="404"/>
      <c r="AW10" s="404"/>
      <c r="AX10" s="404"/>
      <c r="AY10" s="404"/>
      <c r="AZ10" s="404"/>
      <c r="BA10" s="404"/>
      <c r="BB10" s="404"/>
      <c r="BC10" s="404"/>
      <c r="BD10" s="404"/>
      <c r="BE10" s="404"/>
      <c r="BF10" s="404"/>
      <c r="BG10" s="404"/>
      <c r="BH10" s="404"/>
      <c r="BI10" s="404"/>
      <c r="BJ10" s="404"/>
      <c r="BK10" s="404"/>
      <c r="BL10" s="404"/>
      <c r="BM10" s="404"/>
      <c r="BN10" s="404"/>
      <c r="BO10" s="404"/>
      <c r="BP10" s="404"/>
      <c r="BQ10" s="404"/>
      <c r="BR10" s="404"/>
      <c r="BS10" s="404"/>
      <c r="BT10" s="404"/>
      <c r="BU10" s="404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 s="404"/>
      <c r="FS10" s="404"/>
      <c r="FT10" s="404"/>
      <c r="FU10" s="404"/>
      <c r="FV10" s="404"/>
      <c r="FW10" s="404"/>
      <c r="FX10" s="404"/>
      <c r="FY10" s="404"/>
      <c r="FZ10" s="404"/>
      <c r="GA10" s="404"/>
      <c r="GB10" s="404"/>
      <c r="GC10" s="404"/>
      <c r="GD10" s="404"/>
      <c r="GE10" s="404"/>
      <c r="GF10" s="404"/>
      <c r="GG10" s="404"/>
      <c r="GH10" s="404"/>
      <c r="GI10" s="404"/>
      <c r="GJ10" s="404"/>
      <c r="GK10" s="404"/>
      <c r="GL10" s="404"/>
      <c r="GM10" s="404"/>
      <c r="GN10" s="404"/>
      <c r="GO10" s="404"/>
      <c r="GP10" s="404"/>
      <c r="GQ10" s="404"/>
      <c r="GR10" s="404"/>
      <c r="GS10" s="404"/>
      <c r="GT10" s="404"/>
      <c r="GU10" s="404"/>
      <c r="GV10" s="404"/>
      <c r="GW10" s="404"/>
      <c r="GX10" s="404"/>
      <c r="GY10" s="404"/>
      <c r="GZ10" s="404"/>
      <c r="HA10" s="404"/>
      <c r="HB10" s="404"/>
      <c r="HC10" s="404"/>
      <c r="HD10" s="404"/>
      <c r="HE10" s="404"/>
      <c r="HF10" s="404"/>
      <c r="HG10" s="404"/>
      <c r="HH10" s="404"/>
      <c r="HI10" s="404"/>
      <c r="HJ10" s="404"/>
      <c r="HK10" s="404"/>
      <c r="HL10" s="404"/>
      <c r="HM10" s="404"/>
      <c r="HN10" s="404"/>
      <c r="HO10" s="404"/>
      <c r="HP10" s="404"/>
      <c r="HQ10" s="404"/>
    </row>
    <row r="11" spans="1:225" ht="14.4" x14ac:dyDescent="0.3">
      <c r="A11" s="147" t="s">
        <v>500</v>
      </c>
      <c r="B11" s="711">
        <v>2.4E-2</v>
      </c>
      <c r="C11" s="712">
        <f t="shared" si="0"/>
        <v>2.5679984592009243E-2</v>
      </c>
      <c r="D11" s="711">
        <v>5.0000000000000001E-3</v>
      </c>
      <c r="E11" s="712">
        <f t="shared" si="0"/>
        <v>4.3965706748735987E-3</v>
      </c>
      <c r="F11" s="711">
        <v>1.4999999999999999E-2</v>
      </c>
      <c r="G11" s="712">
        <f t="shared" ref="G11" si="6">IF(F$13&lt;&gt;0,F11*100/F$13,"-")</f>
        <v>1.2783582471151717E-2</v>
      </c>
      <c r="H11" s="713">
        <f t="shared" si="2"/>
        <v>300</v>
      </c>
      <c r="I11" s="407" t="s">
        <v>320</v>
      </c>
      <c r="J11" s="404"/>
      <c r="K11" s="404"/>
      <c r="L11" s="404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  <c r="AI11" s="404"/>
      <c r="AJ11" s="404"/>
      <c r="AK11" s="404"/>
      <c r="AL11" s="404"/>
      <c r="AM11" s="404"/>
      <c r="AN11" s="404"/>
      <c r="AO11" s="404"/>
      <c r="AP11" s="404"/>
      <c r="AQ11" s="404"/>
      <c r="AR11" s="404"/>
      <c r="AS11" s="404"/>
      <c r="AT11" s="404"/>
      <c r="AU11" s="404"/>
      <c r="AV11" s="404"/>
      <c r="AW11" s="404"/>
      <c r="AX11" s="404"/>
      <c r="AY11" s="404"/>
      <c r="AZ11" s="404"/>
      <c r="BA11" s="404"/>
      <c r="BB11" s="404"/>
      <c r="BC11" s="404"/>
      <c r="BD11" s="404"/>
      <c r="BE11" s="404"/>
      <c r="BF11" s="404"/>
      <c r="BG11" s="404"/>
      <c r="BH11" s="404"/>
      <c r="BI11" s="404"/>
      <c r="BJ11" s="404"/>
      <c r="BK11" s="404"/>
      <c r="BL11" s="404"/>
      <c r="BM11" s="404"/>
      <c r="BN11" s="404"/>
      <c r="BO11" s="404"/>
      <c r="BP11" s="404"/>
      <c r="BQ11" s="404"/>
      <c r="BR11" s="404"/>
      <c r="BS11" s="404"/>
      <c r="BT11" s="404"/>
      <c r="BU11" s="404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 s="404"/>
      <c r="FS11" s="404"/>
      <c r="FT11" s="404"/>
      <c r="FU11" s="404"/>
      <c r="FV11" s="404"/>
      <c r="FW11" s="404"/>
      <c r="FX11" s="404"/>
      <c r="FY11" s="404"/>
      <c r="FZ11" s="404"/>
      <c r="GA11" s="404"/>
      <c r="GB11" s="404"/>
      <c r="GC11" s="404"/>
      <c r="GD11" s="404"/>
      <c r="GE11" s="404"/>
      <c r="GF11" s="404"/>
      <c r="GG11" s="404"/>
      <c r="GH11" s="404"/>
      <c r="GI11" s="404"/>
      <c r="GJ11" s="404"/>
      <c r="GK11" s="404"/>
      <c r="GL11" s="404"/>
      <c r="GM11" s="404"/>
      <c r="GN11" s="404"/>
      <c r="GO11" s="404"/>
      <c r="GP11" s="404"/>
      <c r="GQ11" s="404"/>
      <c r="GR11" s="404"/>
      <c r="GS11" s="404"/>
      <c r="GT11" s="404"/>
      <c r="GU11" s="404"/>
      <c r="GV11" s="404"/>
      <c r="GW11" s="404"/>
      <c r="GX11" s="404"/>
      <c r="GY11" s="404"/>
      <c r="GZ11" s="404"/>
      <c r="HA11" s="404"/>
      <c r="HB11" s="404"/>
      <c r="HC11" s="404"/>
      <c r="HD11" s="404"/>
      <c r="HE11" s="404"/>
      <c r="HF11" s="404"/>
      <c r="HG11" s="404"/>
      <c r="HH11" s="404"/>
      <c r="HI11" s="404"/>
      <c r="HJ11" s="404"/>
      <c r="HK11" s="404"/>
      <c r="HL11" s="404"/>
      <c r="HM11" s="404"/>
      <c r="HN11" s="404"/>
      <c r="HO11" s="404"/>
      <c r="HP11" s="404"/>
      <c r="HQ11" s="404"/>
    </row>
    <row r="12" spans="1:225" ht="14.4" x14ac:dyDescent="0.3">
      <c r="A12" s="147" t="s">
        <v>501</v>
      </c>
      <c r="B12" s="711">
        <v>7.46</v>
      </c>
      <c r="C12" s="712">
        <f t="shared" si="0"/>
        <v>7.9821952106828737</v>
      </c>
      <c r="D12" s="711">
        <v>7.21</v>
      </c>
      <c r="E12" s="712">
        <f t="shared" si="0"/>
        <v>6.3398549131677298</v>
      </c>
      <c r="F12" s="711">
        <v>6.2919999999999998</v>
      </c>
      <c r="G12" s="712">
        <f t="shared" ref="G12" si="7">IF(F$13&lt;&gt;0,F12*100/F$13,"-")</f>
        <v>5.3622867272324397</v>
      </c>
      <c r="H12" s="713">
        <f t="shared" si="2"/>
        <v>87.267683772538135</v>
      </c>
      <c r="I12" s="404" t="s">
        <v>321</v>
      </c>
      <c r="J12" s="404"/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4"/>
      <c r="AJ12" s="404"/>
      <c r="AK12" s="404"/>
      <c r="AL12" s="404"/>
      <c r="AM12" s="404"/>
      <c r="AN12" s="404"/>
      <c r="AO12" s="404"/>
      <c r="AP12" s="404"/>
      <c r="AQ12" s="404"/>
      <c r="AR12" s="404"/>
      <c r="AS12" s="404"/>
      <c r="AT12" s="404"/>
      <c r="AU12" s="404"/>
      <c r="AV12" s="404"/>
      <c r="AW12" s="404"/>
      <c r="AX12" s="404"/>
      <c r="AY12" s="404"/>
      <c r="AZ12" s="404"/>
      <c r="BA12" s="404"/>
      <c r="BB12" s="404"/>
      <c r="BC12" s="404"/>
      <c r="BD12" s="404"/>
      <c r="BE12" s="404"/>
      <c r="BF12" s="404"/>
      <c r="BG12" s="404"/>
      <c r="BH12" s="404"/>
      <c r="BI12" s="404"/>
      <c r="BJ12" s="404"/>
      <c r="BK12" s="404"/>
      <c r="BL12" s="404"/>
      <c r="BM12" s="404"/>
      <c r="BN12" s="404"/>
      <c r="BO12" s="404"/>
      <c r="BP12" s="404"/>
      <c r="BQ12" s="404"/>
      <c r="BR12" s="404"/>
      <c r="BS12" s="404"/>
      <c r="BT12" s="404"/>
      <c r="BU12" s="404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 s="404"/>
      <c r="FS12" s="404"/>
      <c r="FT12" s="404"/>
      <c r="FU12" s="404"/>
      <c r="FV12" s="404"/>
      <c r="FW12" s="404"/>
      <c r="FX12" s="404"/>
      <c r="FY12" s="404"/>
      <c r="FZ12" s="404"/>
      <c r="GA12" s="404"/>
      <c r="GB12" s="404"/>
      <c r="GC12" s="404"/>
      <c r="GD12" s="404"/>
      <c r="GE12" s="404"/>
      <c r="GF12" s="404"/>
      <c r="GG12" s="404"/>
      <c r="GH12" s="404"/>
      <c r="GI12" s="404"/>
      <c r="GJ12" s="404"/>
      <c r="GK12" s="404"/>
      <c r="GL12" s="404"/>
      <c r="GM12" s="404"/>
      <c r="GN12" s="404"/>
      <c r="GO12" s="404"/>
      <c r="GP12" s="404"/>
      <c r="GQ12" s="404"/>
      <c r="GR12" s="404"/>
      <c r="GS12" s="404"/>
      <c r="GT12" s="404"/>
      <c r="GU12" s="404"/>
      <c r="GV12" s="404"/>
      <c r="GW12" s="404"/>
      <c r="GX12" s="404"/>
      <c r="GY12" s="404"/>
      <c r="GZ12" s="404"/>
      <c r="HA12" s="404"/>
      <c r="HB12" s="404"/>
      <c r="HC12" s="404"/>
      <c r="HD12" s="404"/>
      <c r="HE12" s="404"/>
      <c r="HF12" s="404"/>
      <c r="HG12" s="404"/>
      <c r="HH12" s="404"/>
      <c r="HI12" s="404"/>
      <c r="HJ12" s="404"/>
      <c r="HK12" s="404"/>
      <c r="HL12" s="404"/>
      <c r="HM12" s="404"/>
      <c r="HN12" s="404"/>
      <c r="HO12" s="404"/>
      <c r="HP12" s="404"/>
      <c r="HQ12" s="404"/>
    </row>
    <row r="13" spans="1:225" ht="14.4" x14ac:dyDescent="0.3">
      <c r="A13" s="408" t="s">
        <v>502</v>
      </c>
      <c r="B13" s="714">
        <f t="shared" ref="B13:G13" si="8">SUM(B6:B12)</f>
        <v>93.457999999999998</v>
      </c>
      <c r="C13" s="715">
        <f t="shared" si="8"/>
        <v>100</v>
      </c>
      <c r="D13" s="714">
        <f t="shared" si="8"/>
        <v>113.72499999999999</v>
      </c>
      <c r="E13" s="715">
        <f t="shared" si="8"/>
        <v>100</v>
      </c>
      <c r="F13" s="714">
        <f t="shared" si="8"/>
        <v>117.33799999999999</v>
      </c>
      <c r="G13" s="715">
        <f t="shared" si="8"/>
        <v>100.00000000000003</v>
      </c>
      <c r="H13" s="713">
        <f t="shared" si="2"/>
        <v>103.17696196966367</v>
      </c>
      <c r="I13" s="409" t="s">
        <v>322</v>
      </c>
      <c r="J13" s="404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  <c r="AI13" s="404"/>
      <c r="AJ13" s="404"/>
      <c r="AK13" s="404"/>
      <c r="AL13" s="404"/>
      <c r="AM13" s="404"/>
      <c r="AN13" s="404"/>
      <c r="AO13" s="404"/>
      <c r="AP13" s="404"/>
      <c r="AQ13" s="404"/>
      <c r="AR13" s="404"/>
      <c r="AS13" s="404"/>
      <c r="AT13" s="404"/>
      <c r="AU13" s="404"/>
      <c r="AV13" s="404"/>
      <c r="AW13" s="404"/>
      <c r="AX13" s="404"/>
      <c r="AY13" s="404"/>
      <c r="AZ13" s="404"/>
      <c r="BA13" s="404"/>
      <c r="BB13" s="404"/>
      <c r="BC13" s="404"/>
      <c r="BD13" s="404"/>
      <c r="BE13" s="404"/>
      <c r="BF13" s="404"/>
      <c r="BG13" s="404"/>
      <c r="BH13" s="404"/>
      <c r="BI13" s="404"/>
      <c r="BJ13" s="404"/>
      <c r="BK13" s="404"/>
      <c r="BL13" s="404"/>
      <c r="BM13" s="404"/>
      <c r="BN13" s="404"/>
      <c r="BO13" s="404"/>
      <c r="BP13" s="404"/>
      <c r="BQ13" s="404"/>
      <c r="BR13" s="404"/>
      <c r="BS13" s="404"/>
      <c r="BT13" s="404"/>
      <c r="BU13" s="404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 s="404"/>
      <c r="FS13" s="404"/>
      <c r="FT13" s="404"/>
      <c r="FU13" s="404"/>
      <c r="FV13" s="404"/>
      <c r="FW13" s="404"/>
      <c r="FX13" s="404"/>
      <c r="FY13" s="404"/>
      <c r="FZ13" s="404"/>
      <c r="GA13" s="404"/>
      <c r="GB13" s="404"/>
      <c r="GC13" s="404"/>
      <c r="GD13" s="404"/>
      <c r="GE13" s="404"/>
      <c r="GF13" s="404"/>
      <c r="GG13" s="404"/>
      <c r="GH13" s="404"/>
      <c r="GI13" s="404"/>
      <c r="GJ13" s="404"/>
      <c r="GK13" s="404"/>
      <c r="GL13" s="404"/>
      <c r="GM13" s="404"/>
      <c r="GN13" s="404"/>
      <c r="GO13" s="404"/>
      <c r="GP13" s="404"/>
      <c r="GQ13" s="404"/>
      <c r="GR13" s="404"/>
      <c r="GS13" s="404"/>
      <c r="GT13" s="404"/>
      <c r="GU13" s="404"/>
      <c r="GV13" s="404"/>
      <c r="GW13" s="404"/>
      <c r="GX13" s="404"/>
      <c r="GY13" s="404"/>
      <c r="GZ13" s="404"/>
      <c r="HA13" s="404"/>
      <c r="HB13" s="404"/>
      <c r="HC13" s="404"/>
      <c r="HD13" s="404"/>
      <c r="HE13" s="404"/>
      <c r="HF13" s="404"/>
      <c r="HG13" s="404"/>
      <c r="HH13" s="404"/>
      <c r="HI13" s="404"/>
      <c r="HJ13" s="404"/>
      <c r="HK13" s="404"/>
      <c r="HL13" s="404"/>
      <c r="HM13" s="404"/>
      <c r="HN13" s="404"/>
      <c r="HO13" s="404"/>
      <c r="HP13" s="404"/>
      <c r="HQ13" s="404"/>
    </row>
    <row r="14" spans="1:225" ht="14.4" x14ac:dyDescent="0.3">
      <c r="A14" s="147" t="s">
        <v>503</v>
      </c>
      <c r="B14" s="711"/>
      <c r="C14" s="716"/>
      <c r="D14" s="711"/>
      <c r="E14" s="716"/>
      <c r="F14" s="711"/>
      <c r="G14" s="716"/>
      <c r="H14" s="713" t="str">
        <f t="shared" si="2"/>
        <v>-</v>
      </c>
      <c r="I14" s="404"/>
      <c r="J14" s="404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4"/>
      <c r="AJ14" s="404"/>
      <c r="AK14" s="404"/>
      <c r="AL14" s="404"/>
      <c r="AM14" s="404"/>
      <c r="AN14" s="404"/>
      <c r="AO14" s="404"/>
      <c r="AP14" s="404"/>
      <c r="AQ14" s="404"/>
      <c r="AR14" s="404"/>
      <c r="AS14" s="404"/>
      <c r="AT14" s="404"/>
      <c r="AU14" s="404"/>
      <c r="AV14" s="404"/>
      <c r="AW14" s="404"/>
      <c r="AX14" s="404"/>
      <c r="AY14" s="404"/>
      <c r="AZ14" s="404"/>
      <c r="BA14" s="404"/>
      <c r="BB14" s="404"/>
      <c r="BC14" s="404"/>
      <c r="BD14" s="404"/>
      <c r="BE14" s="404"/>
      <c r="BF14" s="404"/>
      <c r="BG14" s="404"/>
      <c r="BH14" s="404"/>
      <c r="BI14" s="404"/>
      <c r="BJ14" s="404"/>
      <c r="BK14" s="404"/>
      <c r="BL14" s="404"/>
      <c r="BM14" s="404"/>
      <c r="BN14" s="404"/>
      <c r="BO14" s="404"/>
      <c r="BP14" s="404"/>
      <c r="BQ14" s="404"/>
      <c r="BR14" s="404"/>
      <c r="BS14" s="404"/>
      <c r="BT14" s="404"/>
      <c r="BU14" s="40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 s="404"/>
      <c r="FS14" s="404"/>
      <c r="FT14" s="404"/>
      <c r="FU14" s="404"/>
      <c r="FV14" s="404"/>
      <c r="FW14" s="404"/>
      <c r="FX14" s="404"/>
      <c r="FY14" s="404"/>
      <c r="FZ14" s="404"/>
      <c r="GA14" s="404"/>
      <c r="GB14" s="404"/>
      <c r="GC14" s="404"/>
      <c r="GD14" s="404"/>
      <c r="GE14" s="404"/>
      <c r="GF14" s="404"/>
      <c r="GG14" s="404"/>
      <c r="GH14" s="404"/>
      <c r="GI14" s="404"/>
      <c r="GJ14" s="404"/>
      <c r="GK14" s="404"/>
      <c r="GL14" s="404"/>
      <c r="GM14" s="404"/>
      <c r="GN14" s="404"/>
      <c r="GO14" s="404"/>
      <c r="GP14" s="404"/>
      <c r="GQ14" s="404"/>
      <c r="GR14" s="404"/>
      <c r="GS14" s="404"/>
      <c r="GT14" s="404"/>
      <c r="GU14" s="404"/>
      <c r="GV14" s="404"/>
      <c r="GW14" s="404"/>
      <c r="GX14" s="404"/>
      <c r="GY14" s="404"/>
      <c r="GZ14" s="404"/>
      <c r="HA14" s="404"/>
      <c r="HB14" s="404"/>
      <c r="HC14" s="404"/>
      <c r="HD14" s="404"/>
      <c r="HE14" s="404"/>
      <c r="HF14" s="404"/>
      <c r="HG14" s="404"/>
      <c r="HH14" s="404"/>
      <c r="HI14" s="404"/>
      <c r="HJ14" s="404"/>
      <c r="HK14" s="404"/>
      <c r="HL14" s="404"/>
      <c r="HM14" s="404"/>
      <c r="HN14" s="404"/>
      <c r="HO14" s="404"/>
      <c r="HP14" s="404"/>
      <c r="HQ14" s="404"/>
    </row>
    <row r="15" spans="1:225" ht="14.4" x14ac:dyDescent="0.3">
      <c r="A15" s="147" t="s">
        <v>504</v>
      </c>
      <c r="B15" s="711">
        <v>8.5820000000000007</v>
      </c>
      <c r="C15" s="712">
        <f>IF(B$21&lt;&gt;0,B15*100/B$21,"-")</f>
        <v>68.843253649927803</v>
      </c>
      <c r="D15" s="711">
        <v>13.744</v>
      </c>
      <c r="E15" s="712">
        <f>IF(D$21&lt;&gt;0,D15*100/D$21,"-")</f>
        <v>73.285699050869141</v>
      </c>
      <c r="F15" s="711">
        <v>16.940999999999999</v>
      </c>
      <c r="G15" s="712">
        <f>IF(F$21&lt;&gt;0,F15*100/F$21,"-")</f>
        <v>77.689626708245441</v>
      </c>
      <c r="H15" s="713">
        <f t="shared" si="2"/>
        <v>123.26105937136204</v>
      </c>
      <c r="I15" s="404" t="s">
        <v>323</v>
      </c>
      <c r="J15" s="404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4"/>
      <c r="AI15" s="404"/>
      <c r="AJ15" s="404"/>
      <c r="AK15" s="404"/>
      <c r="AL15" s="404"/>
      <c r="AM15" s="404"/>
      <c r="AN15" s="404"/>
      <c r="AO15" s="404"/>
      <c r="AP15" s="404"/>
      <c r="AQ15" s="404"/>
      <c r="AR15" s="404"/>
      <c r="AS15" s="404"/>
      <c r="AT15" s="404"/>
      <c r="AU15" s="404"/>
      <c r="AV15" s="404"/>
      <c r="AW15" s="404"/>
      <c r="AX15" s="404"/>
      <c r="AY15" s="404"/>
      <c r="AZ15" s="404"/>
      <c r="BA15" s="404"/>
      <c r="BB15" s="404"/>
      <c r="BC15" s="404"/>
      <c r="BD15" s="404"/>
      <c r="BE15" s="404"/>
      <c r="BF15" s="404"/>
      <c r="BG15" s="404"/>
      <c r="BH15" s="404"/>
      <c r="BI15" s="404"/>
      <c r="BJ15" s="404"/>
      <c r="BK15" s="404"/>
      <c r="BL15" s="404"/>
      <c r="BM15" s="404"/>
      <c r="BN15" s="404"/>
      <c r="BO15" s="404"/>
      <c r="BP15" s="404"/>
      <c r="BQ15" s="404"/>
      <c r="BR15" s="404"/>
      <c r="BS15" s="404"/>
      <c r="BT15" s="404"/>
      <c r="BU15" s="404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 s="404"/>
      <c r="FS15" s="404"/>
      <c r="FT15" s="404"/>
      <c r="FU15" s="404"/>
      <c r="FV15" s="404"/>
      <c r="FW15" s="404"/>
      <c r="FX15" s="404"/>
      <c r="FY15" s="404"/>
      <c r="FZ15" s="404"/>
      <c r="GA15" s="404"/>
      <c r="GB15" s="404"/>
      <c r="GC15" s="404"/>
      <c r="GD15" s="404"/>
      <c r="GE15" s="404"/>
      <c r="GF15" s="404"/>
      <c r="GG15" s="404"/>
      <c r="GH15" s="404"/>
      <c r="GI15" s="404"/>
      <c r="GJ15" s="404"/>
      <c r="GK15" s="404"/>
      <c r="GL15" s="404"/>
      <c r="GM15" s="404"/>
      <c r="GN15" s="404"/>
      <c r="GO15" s="404"/>
      <c r="GP15" s="404"/>
      <c r="GQ15" s="404"/>
      <c r="GR15" s="404"/>
      <c r="GS15" s="404"/>
      <c r="GT15" s="404"/>
      <c r="GU15" s="404"/>
      <c r="GV15" s="404"/>
      <c r="GW15" s="404"/>
      <c r="GX15" s="404"/>
      <c r="GY15" s="404"/>
      <c r="GZ15" s="404"/>
      <c r="HA15" s="404"/>
      <c r="HB15" s="404"/>
      <c r="HC15" s="404"/>
      <c r="HD15" s="404"/>
      <c r="HE15" s="404"/>
      <c r="HF15" s="404"/>
      <c r="HG15" s="404"/>
      <c r="HH15" s="404"/>
      <c r="HI15" s="404"/>
      <c r="HJ15" s="404"/>
      <c r="HK15" s="404"/>
      <c r="HL15" s="404"/>
      <c r="HM15" s="404"/>
      <c r="HN15" s="404"/>
      <c r="HO15" s="404"/>
      <c r="HP15" s="404"/>
      <c r="HQ15" s="404"/>
    </row>
    <row r="16" spans="1:225" ht="14.4" x14ac:dyDescent="0.3">
      <c r="A16" s="147" t="s">
        <v>505</v>
      </c>
      <c r="B16" s="711">
        <v>0</v>
      </c>
      <c r="C16" s="712">
        <f t="shared" ref="C16:E20" si="9">IF(B$21&lt;&gt;0,B16*100/B$21,"-")</f>
        <v>0</v>
      </c>
      <c r="D16" s="711">
        <v>0</v>
      </c>
      <c r="E16" s="712">
        <f t="shared" si="9"/>
        <v>0</v>
      </c>
      <c r="F16" s="711">
        <v>0</v>
      </c>
      <c r="G16" s="712">
        <f t="shared" ref="G16" si="10">IF(F$21&lt;&gt;0,F16*100/F$21,"-")</f>
        <v>0</v>
      </c>
      <c r="H16" s="713" t="str">
        <f t="shared" si="2"/>
        <v>-</v>
      </c>
      <c r="I16" s="407" t="s">
        <v>324</v>
      </c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4"/>
      <c r="AI16" s="404"/>
      <c r="AJ16" s="404"/>
      <c r="AK16" s="404"/>
      <c r="AL16" s="404"/>
      <c r="AM16" s="404"/>
      <c r="AN16" s="404"/>
      <c r="AO16" s="404"/>
      <c r="AP16" s="404"/>
      <c r="AQ16" s="404"/>
      <c r="AR16" s="404"/>
      <c r="AS16" s="404"/>
      <c r="AT16" s="404"/>
      <c r="AU16" s="404"/>
      <c r="AV16" s="404"/>
      <c r="AW16" s="404"/>
      <c r="AX16" s="404"/>
      <c r="AY16" s="404"/>
      <c r="AZ16" s="404"/>
      <c r="BA16" s="404"/>
      <c r="BB16" s="404"/>
      <c r="BC16" s="404"/>
      <c r="BD16" s="404"/>
      <c r="BE16" s="404"/>
      <c r="BF16" s="404"/>
      <c r="BG16" s="404"/>
      <c r="BH16" s="404"/>
      <c r="BI16" s="404"/>
      <c r="BJ16" s="404"/>
      <c r="BK16" s="404"/>
      <c r="BL16" s="404"/>
      <c r="BM16" s="404"/>
      <c r="BN16" s="404"/>
      <c r="BO16" s="404"/>
      <c r="BP16" s="404"/>
      <c r="BQ16" s="404"/>
      <c r="BR16" s="404"/>
      <c r="BS16" s="404"/>
      <c r="BT16" s="404"/>
      <c r="BU16" s="404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 s="404"/>
      <c r="FS16" s="404"/>
      <c r="FT16" s="404"/>
      <c r="FU16" s="404"/>
      <c r="FV16" s="404"/>
      <c r="FW16" s="404"/>
      <c r="FX16" s="404"/>
      <c r="FY16" s="404"/>
      <c r="FZ16" s="404"/>
      <c r="GA16" s="404"/>
      <c r="GB16" s="404"/>
      <c r="GC16" s="404"/>
      <c r="GD16" s="404"/>
      <c r="GE16" s="404"/>
      <c r="GF16" s="404"/>
      <c r="GG16" s="404"/>
      <c r="GH16" s="404"/>
      <c r="GI16" s="404"/>
      <c r="GJ16" s="404"/>
      <c r="GK16" s="404"/>
      <c r="GL16" s="404"/>
      <c r="GM16" s="404"/>
      <c r="GN16" s="404"/>
      <c r="GO16" s="404"/>
      <c r="GP16" s="404"/>
      <c r="GQ16" s="404"/>
      <c r="GR16" s="404"/>
      <c r="GS16" s="404"/>
      <c r="GT16" s="404"/>
      <c r="GU16" s="404"/>
      <c r="GV16" s="404"/>
      <c r="GW16" s="404"/>
      <c r="GX16" s="404"/>
      <c r="GY16" s="404"/>
      <c r="GZ16" s="404"/>
      <c r="HA16" s="404"/>
      <c r="HB16" s="404"/>
      <c r="HC16" s="404"/>
      <c r="HD16" s="404"/>
      <c r="HE16" s="404"/>
      <c r="HF16" s="404"/>
      <c r="HG16" s="404"/>
      <c r="HH16" s="404"/>
      <c r="HI16" s="404"/>
      <c r="HJ16" s="404"/>
      <c r="HK16" s="404"/>
      <c r="HL16" s="404"/>
      <c r="HM16" s="404"/>
      <c r="HN16" s="404"/>
      <c r="HO16" s="404"/>
      <c r="HP16" s="404"/>
      <c r="HQ16" s="404"/>
    </row>
    <row r="17" spans="1:225" ht="14.4" x14ac:dyDescent="0.3">
      <c r="A17" s="147" t="s">
        <v>506</v>
      </c>
      <c r="B17" s="711">
        <v>0</v>
      </c>
      <c r="C17" s="712">
        <f t="shared" si="9"/>
        <v>0</v>
      </c>
      <c r="D17" s="711">
        <v>0</v>
      </c>
      <c r="E17" s="712">
        <f t="shared" si="9"/>
        <v>0</v>
      </c>
      <c r="F17" s="711">
        <v>0</v>
      </c>
      <c r="G17" s="712">
        <f t="shared" ref="G17" si="11">IF(F$21&lt;&gt;0,F17*100/F$21,"-")</f>
        <v>0</v>
      </c>
      <c r="H17" s="713" t="str">
        <f t="shared" si="2"/>
        <v>-</v>
      </c>
      <c r="I17" s="404" t="s">
        <v>325</v>
      </c>
      <c r="J17" s="404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4"/>
      <c r="AI17" s="404"/>
      <c r="AJ17" s="404"/>
      <c r="AK17" s="404"/>
      <c r="AL17" s="404"/>
      <c r="AM17" s="404"/>
      <c r="AN17" s="404"/>
      <c r="AO17" s="404"/>
      <c r="AP17" s="404"/>
      <c r="AQ17" s="404"/>
      <c r="AR17" s="404"/>
      <c r="AS17" s="404"/>
      <c r="AT17" s="404"/>
      <c r="AU17" s="404"/>
      <c r="AV17" s="404"/>
      <c r="AW17" s="404"/>
      <c r="AX17" s="404"/>
      <c r="AY17" s="404"/>
      <c r="AZ17" s="404"/>
      <c r="BA17" s="404"/>
      <c r="BB17" s="404"/>
      <c r="BC17" s="404"/>
      <c r="BD17" s="404"/>
      <c r="BE17" s="404"/>
      <c r="BF17" s="404"/>
      <c r="BG17" s="404"/>
      <c r="BH17" s="404"/>
      <c r="BI17" s="404"/>
      <c r="BJ17" s="404"/>
      <c r="BK17" s="404"/>
      <c r="BL17" s="404"/>
      <c r="BM17" s="404"/>
      <c r="BN17" s="404"/>
      <c r="BO17" s="404"/>
      <c r="BP17" s="404"/>
      <c r="BQ17" s="404"/>
      <c r="BR17" s="404"/>
      <c r="BS17" s="404"/>
      <c r="BT17" s="404"/>
      <c r="BU17" s="404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 s="404"/>
      <c r="FS17" s="404"/>
      <c r="FT17" s="404"/>
      <c r="FU17" s="404"/>
      <c r="FV17" s="404"/>
      <c r="FW17" s="404"/>
      <c r="FX17" s="404"/>
      <c r="FY17" s="404"/>
      <c r="FZ17" s="404"/>
      <c r="GA17" s="404"/>
      <c r="GB17" s="404"/>
      <c r="GC17" s="404"/>
      <c r="GD17" s="404"/>
      <c r="GE17" s="404"/>
      <c r="GF17" s="404"/>
      <c r="GG17" s="404"/>
      <c r="GH17" s="404"/>
      <c r="GI17" s="404"/>
      <c r="GJ17" s="404"/>
      <c r="GK17" s="404"/>
      <c r="GL17" s="404"/>
      <c r="GM17" s="404"/>
      <c r="GN17" s="404"/>
      <c r="GO17" s="404"/>
      <c r="GP17" s="404"/>
      <c r="GQ17" s="404"/>
      <c r="GR17" s="404"/>
      <c r="GS17" s="404"/>
      <c r="GT17" s="404"/>
      <c r="GU17" s="404"/>
      <c r="GV17" s="404"/>
      <c r="GW17" s="404"/>
      <c r="GX17" s="404"/>
      <c r="GY17" s="404"/>
      <c r="GZ17" s="404"/>
      <c r="HA17" s="404"/>
      <c r="HB17" s="404"/>
      <c r="HC17" s="404"/>
      <c r="HD17" s="404"/>
      <c r="HE17" s="404"/>
      <c r="HF17" s="404"/>
      <c r="HG17" s="404"/>
      <c r="HH17" s="404"/>
      <c r="HI17" s="404"/>
      <c r="HJ17" s="404"/>
      <c r="HK17" s="404"/>
      <c r="HL17" s="404"/>
      <c r="HM17" s="404"/>
      <c r="HN17" s="404"/>
      <c r="HO17" s="404"/>
      <c r="HP17" s="404"/>
      <c r="HQ17" s="404"/>
    </row>
    <row r="18" spans="1:225" ht="14.4" x14ac:dyDescent="0.3">
      <c r="A18" s="147" t="s">
        <v>507</v>
      </c>
      <c r="B18" s="711">
        <v>2.774</v>
      </c>
      <c r="C18" s="712">
        <f t="shared" si="9"/>
        <v>22.252526873094816</v>
      </c>
      <c r="D18" s="711">
        <v>3.3439999999999999</v>
      </c>
      <c r="E18" s="712">
        <f t="shared" si="9"/>
        <v>17.830862749280151</v>
      </c>
      <c r="F18" s="711">
        <v>2.6949999999999998</v>
      </c>
      <c r="G18" s="712">
        <f t="shared" ref="G18" si="12">IF(F$21&lt;&gt;0,F18*100/F$21,"-")</f>
        <v>12.358983765935982</v>
      </c>
      <c r="H18" s="713">
        <f t="shared" si="2"/>
        <v>80.592105263157904</v>
      </c>
      <c r="I18" s="404" t="s">
        <v>326</v>
      </c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4"/>
      <c r="AJ18" s="404"/>
      <c r="AK18" s="404"/>
      <c r="AL18" s="404"/>
      <c r="AM18" s="404"/>
      <c r="AN18" s="404"/>
      <c r="AO18" s="404"/>
      <c r="AP18" s="404"/>
      <c r="AQ18" s="404"/>
      <c r="AR18" s="404"/>
      <c r="AS18" s="404"/>
      <c r="AT18" s="404"/>
      <c r="AU18" s="404"/>
      <c r="AV18" s="404"/>
      <c r="AW18" s="404"/>
      <c r="AX18" s="404"/>
      <c r="AY18" s="404"/>
      <c r="AZ18" s="404"/>
      <c r="BA18" s="404"/>
      <c r="BB18" s="404"/>
      <c r="BC18" s="404"/>
      <c r="BD18" s="404"/>
      <c r="BE18" s="404"/>
      <c r="BF18" s="404"/>
      <c r="BG18" s="404"/>
      <c r="BH18" s="404"/>
      <c r="BI18" s="404"/>
      <c r="BJ18" s="404"/>
      <c r="BK18" s="404"/>
      <c r="BL18" s="404"/>
      <c r="BM18" s="404"/>
      <c r="BN18" s="404"/>
      <c r="BO18" s="404"/>
      <c r="BP18" s="404"/>
      <c r="BQ18" s="404"/>
      <c r="BR18" s="404"/>
      <c r="BS18" s="404"/>
      <c r="BT18" s="404"/>
      <c r="BU18" s="404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 s="404"/>
      <c r="FS18" s="404"/>
      <c r="FT18" s="404"/>
      <c r="FU18" s="404"/>
      <c r="FV18" s="404"/>
      <c r="FW18" s="404"/>
      <c r="FX18" s="404"/>
      <c r="FY18" s="404"/>
      <c r="FZ18" s="404"/>
      <c r="GA18" s="404"/>
      <c r="GB18" s="404"/>
      <c r="GC18" s="404"/>
      <c r="GD18" s="404"/>
      <c r="GE18" s="404"/>
      <c r="GF18" s="404"/>
      <c r="GG18" s="404"/>
      <c r="GH18" s="404"/>
      <c r="GI18" s="404"/>
      <c r="GJ18" s="404"/>
      <c r="GK18" s="404"/>
      <c r="GL18" s="404"/>
      <c r="GM18" s="404"/>
      <c r="GN18" s="404"/>
      <c r="GO18" s="404"/>
      <c r="GP18" s="404"/>
      <c r="GQ18" s="404"/>
      <c r="GR18" s="404"/>
      <c r="GS18" s="404"/>
      <c r="GT18" s="404"/>
      <c r="GU18" s="404"/>
      <c r="GV18" s="404"/>
      <c r="GW18" s="404"/>
      <c r="GX18" s="404"/>
      <c r="GY18" s="404"/>
      <c r="GZ18" s="404"/>
      <c r="HA18" s="404"/>
      <c r="HB18" s="404"/>
      <c r="HC18" s="404"/>
      <c r="HD18" s="404"/>
      <c r="HE18" s="404"/>
      <c r="HF18" s="404"/>
      <c r="HG18" s="404"/>
      <c r="HH18" s="404"/>
      <c r="HI18" s="404"/>
      <c r="HJ18" s="404"/>
      <c r="HK18" s="404"/>
      <c r="HL18" s="404"/>
      <c r="HM18" s="404"/>
      <c r="HN18" s="404"/>
      <c r="HO18" s="404"/>
      <c r="HP18" s="404"/>
      <c r="HQ18" s="404"/>
    </row>
    <row r="19" spans="1:225" ht="14.4" x14ac:dyDescent="0.3">
      <c r="A19" s="147" t="s">
        <v>508</v>
      </c>
      <c r="B19" s="711">
        <v>0.55900000000000005</v>
      </c>
      <c r="C19" s="712">
        <f t="shared" si="9"/>
        <v>4.4841970158832023</v>
      </c>
      <c r="D19" s="711">
        <v>1.1459999999999999</v>
      </c>
      <c r="E19" s="712">
        <f t="shared" si="9"/>
        <v>6.1106963847712477</v>
      </c>
      <c r="F19" s="711">
        <v>1.552</v>
      </c>
      <c r="G19" s="712">
        <f t="shared" ref="G19" si="13">IF(F$21&lt;&gt;0,F19*100/F$21,"-")</f>
        <v>7.1173071631661031</v>
      </c>
      <c r="H19" s="713">
        <f t="shared" si="2"/>
        <v>135.4275741710297</v>
      </c>
      <c r="I19" s="407" t="s">
        <v>327</v>
      </c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4"/>
      <c r="AI19" s="404"/>
      <c r="AJ19" s="404"/>
      <c r="AK19" s="404"/>
      <c r="AL19" s="404"/>
      <c r="AM19" s="404"/>
      <c r="AN19" s="404"/>
      <c r="AO19" s="404"/>
      <c r="AP19" s="404"/>
      <c r="AQ19" s="404"/>
      <c r="AR19" s="404"/>
      <c r="AS19" s="404"/>
      <c r="AT19" s="404"/>
      <c r="AU19" s="404"/>
      <c r="AV19" s="404"/>
      <c r="AW19" s="404"/>
      <c r="AX19" s="404"/>
      <c r="AY19" s="404"/>
      <c r="AZ19" s="404"/>
      <c r="BA19" s="404"/>
      <c r="BB19" s="404"/>
      <c r="BC19" s="404"/>
      <c r="BD19" s="404"/>
      <c r="BE19" s="404"/>
      <c r="BF19" s="404"/>
      <c r="BG19" s="404"/>
      <c r="BH19" s="404"/>
      <c r="BI19" s="404"/>
      <c r="BJ19" s="404"/>
      <c r="BK19" s="404"/>
      <c r="BL19" s="404"/>
      <c r="BM19" s="404"/>
      <c r="BN19" s="404"/>
      <c r="BO19" s="404"/>
      <c r="BP19" s="404"/>
      <c r="BQ19" s="404"/>
      <c r="BR19" s="404"/>
      <c r="BS19" s="404"/>
      <c r="BT19" s="404"/>
      <c r="BU19" s="404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 s="404"/>
      <c r="FS19" s="404"/>
      <c r="FT19" s="404"/>
      <c r="FU19" s="404"/>
      <c r="FV19" s="404"/>
      <c r="FW19" s="404"/>
      <c r="FX19" s="404"/>
      <c r="FY19" s="404"/>
      <c r="FZ19" s="404"/>
      <c r="GA19" s="404"/>
      <c r="GB19" s="404"/>
      <c r="GC19" s="404"/>
      <c r="GD19" s="404"/>
      <c r="GE19" s="404"/>
      <c r="GF19" s="404"/>
      <c r="GG19" s="404"/>
      <c r="GH19" s="404"/>
      <c r="GI19" s="404"/>
      <c r="GJ19" s="404"/>
      <c r="GK19" s="404"/>
      <c r="GL19" s="404"/>
      <c r="GM19" s="404"/>
      <c r="GN19" s="404"/>
      <c r="GO19" s="404"/>
      <c r="GP19" s="404"/>
      <c r="GQ19" s="404"/>
      <c r="GR19" s="404"/>
      <c r="GS19" s="404"/>
      <c r="GT19" s="404"/>
      <c r="GU19" s="404"/>
      <c r="GV19" s="404"/>
      <c r="GW19" s="404"/>
      <c r="GX19" s="404"/>
      <c r="GY19" s="404"/>
      <c r="GZ19" s="404"/>
      <c r="HA19" s="404"/>
      <c r="HB19" s="404"/>
      <c r="HC19" s="404"/>
      <c r="HD19" s="404"/>
      <c r="HE19" s="404"/>
      <c r="HF19" s="404"/>
      <c r="HG19" s="404"/>
      <c r="HH19" s="404"/>
      <c r="HI19" s="404"/>
      <c r="HJ19" s="404"/>
      <c r="HK19" s="404"/>
      <c r="HL19" s="404"/>
      <c r="HM19" s="404"/>
      <c r="HN19" s="404"/>
      <c r="HO19" s="404"/>
      <c r="HP19" s="404"/>
      <c r="HQ19" s="404"/>
    </row>
    <row r="20" spans="1:225" ht="14.4" x14ac:dyDescent="0.3">
      <c r="A20" s="147" t="s">
        <v>509</v>
      </c>
      <c r="B20" s="711">
        <v>0.55100000000000005</v>
      </c>
      <c r="C20" s="712">
        <f t="shared" si="9"/>
        <v>4.4200224610941756</v>
      </c>
      <c r="D20" s="711">
        <v>0.52</v>
      </c>
      <c r="E20" s="712">
        <f t="shared" si="9"/>
        <v>2.7727418150794496</v>
      </c>
      <c r="F20" s="711">
        <v>0.61799999999999999</v>
      </c>
      <c r="G20" s="712">
        <f t="shared" ref="G20" si="14">IF(F$21&lt;&gt;0,F20*100/F$21,"-")</f>
        <v>2.8340823626524814</v>
      </c>
      <c r="H20" s="713">
        <f t="shared" si="2"/>
        <v>118.84615384615384</v>
      </c>
      <c r="I20" s="404" t="s">
        <v>328</v>
      </c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4"/>
      <c r="AJ20" s="404"/>
      <c r="AK20" s="404"/>
      <c r="AL20" s="404"/>
      <c r="AM20" s="404"/>
      <c r="AN20" s="404"/>
      <c r="AO20" s="404"/>
      <c r="AP20" s="404"/>
      <c r="AQ20" s="404"/>
      <c r="AR20" s="404"/>
      <c r="AS20" s="404"/>
      <c r="AT20" s="404"/>
      <c r="AU20" s="404"/>
      <c r="AV20" s="404"/>
      <c r="AW20" s="404"/>
      <c r="AX20" s="404"/>
      <c r="AY20" s="404"/>
      <c r="AZ20" s="404"/>
      <c r="BA20" s="404"/>
      <c r="BB20" s="404"/>
      <c r="BC20" s="404"/>
      <c r="BD20" s="404"/>
      <c r="BE20" s="404"/>
      <c r="BF20" s="404"/>
      <c r="BG20" s="404"/>
      <c r="BH20" s="404"/>
      <c r="BI20" s="404"/>
      <c r="BJ20" s="404"/>
      <c r="BK20" s="404"/>
      <c r="BL20" s="404"/>
      <c r="BM20" s="404"/>
      <c r="BN20" s="404"/>
      <c r="BO20" s="404"/>
      <c r="BP20" s="404"/>
      <c r="BQ20" s="404"/>
      <c r="BR20" s="404"/>
      <c r="BS20" s="404"/>
      <c r="BT20" s="404"/>
      <c r="BU20" s="404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 s="404"/>
      <c r="FS20" s="404"/>
      <c r="FT20" s="404"/>
      <c r="FU20" s="404"/>
      <c r="FV20" s="404"/>
      <c r="FW20" s="404"/>
      <c r="FX20" s="404"/>
      <c r="FY20" s="404"/>
      <c r="FZ20" s="404"/>
      <c r="GA20" s="404"/>
      <c r="GB20" s="404"/>
      <c r="GC20" s="404"/>
      <c r="GD20" s="404"/>
      <c r="GE20" s="404"/>
      <c r="GF20" s="404"/>
      <c r="GG20" s="404"/>
      <c r="GH20" s="404"/>
      <c r="GI20" s="404"/>
      <c r="GJ20" s="404"/>
      <c r="GK20" s="404"/>
      <c r="GL20" s="404"/>
      <c r="GM20" s="404"/>
      <c r="GN20" s="404"/>
      <c r="GO20" s="404"/>
      <c r="GP20" s="404"/>
      <c r="GQ20" s="404"/>
      <c r="GR20" s="404"/>
      <c r="GS20" s="404"/>
      <c r="GT20" s="404"/>
      <c r="GU20" s="404"/>
      <c r="GV20" s="404"/>
      <c r="GW20" s="404"/>
      <c r="GX20" s="404"/>
      <c r="GY20" s="404"/>
      <c r="GZ20" s="404"/>
      <c r="HA20" s="404"/>
      <c r="HB20" s="404"/>
      <c r="HC20" s="404"/>
      <c r="HD20" s="404"/>
      <c r="HE20" s="404"/>
      <c r="HF20" s="404"/>
      <c r="HG20" s="404"/>
      <c r="HH20" s="404"/>
      <c r="HI20" s="404"/>
      <c r="HJ20" s="404"/>
      <c r="HK20" s="404"/>
      <c r="HL20" s="404"/>
      <c r="HM20" s="404"/>
      <c r="HN20" s="404"/>
      <c r="HO20" s="404"/>
      <c r="HP20" s="404"/>
      <c r="HQ20" s="404"/>
    </row>
    <row r="21" spans="1:225" ht="14.4" x14ac:dyDescent="0.3">
      <c r="A21" s="408" t="s">
        <v>510</v>
      </c>
      <c r="B21" s="714">
        <f t="shared" ref="B21:G21" si="15">SUM(B15:B20)</f>
        <v>12.466000000000001</v>
      </c>
      <c r="C21" s="715">
        <f t="shared" si="15"/>
        <v>100</v>
      </c>
      <c r="D21" s="714">
        <f t="shared" si="15"/>
        <v>18.754000000000001</v>
      </c>
      <c r="E21" s="715">
        <f t="shared" si="15"/>
        <v>100</v>
      </c>
      <c r="F21" s="714">
        <f t="shared" si="15"/>
        <v>21.805999999999997</v>
      </c>
      <c r="G21" s="715">
        <f t="shared" si="15"/>
        <v>100.00000000000001</v>
      </c>
      <c r="H21" s="713">
        <f t="shared" si="2"/>
        <v>116.27386157619706</v>
      </c>
      <c r="I21" s="409" t="s">
        <v>329</v>
      </c>
      <c r="J21" s="404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4"/>
      <c r="AI21" s="404"/>
      <c r="AJ21" s="404"/>
      <c r="AK21" s="404"/>
      <c r="AL21" s="404"/>
      <c r="AM21" s="404"/>
      <c r="AN21" s="404"/>
      <c r="AO21" s="404"/>
      <c r="AP21" s="404"/>
      <c r="AQ21" s="404"/>
      <c r="AR21" s="404"/>
      <c r="AS21" s="404"/>
      <c r="AT21" s="404"/>
      <c r="AU21" s="404"/>
      <c r="AV21" s="404"/>
      <c r="AW21" s="404"/>
      <c r="AX21" s="404"/>
      <c r="AY21" s="404"/>
      <c r="AZ21" s="404"/>
      <c r="BA21" s="404"/>
      <c r="BB21" s="404"/>
      <c r="BC21" s="404"/>
      <c r="BD21" s="404"/>
      <c r="BE21" s="404"/>
      <c r="BF21" s="404"/>
      <c r="BG21" s="404"/>
      <c r="BH21" s="404"/>
      <c r="BI21" s="404"/>
      <c r="BJ21" s="404"/>
      <c r="BK21" s="404"/>
      <c r="BL21" s="404"/>
      <c r="BM21" s="404"/>
      <c r="BN21" s="404"/>
      <c r="BO21" s="404"/>
      <c r="BP21" s="404"/>
      <c r="BQ21" s="404"/>
      <c r="BR21" s="404"/>
      <c r="BS21" s="404"/>
      <c r="BT21" s="404"/>
      <c r="BU21" s="404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 s="404"/>
      <c r="FS21" s="404"/>
      <c r="FT21" s="404"/>
      <c r="FU21" s="404"/>
      <c r="FV21" s="404"/>
      <c r="FW21" s="404"/>
      <c r="FX21" s="404"/>
      <c r="FY21" s="404"/>
      <c r="FZ21" s="404"/>
      <c r="GA21" s="404"/>
      <c r="GB21" s="404"/>
      <c r="GC21" s="404"/>
      <c r="GD21" s="404"/>
      <c r="GE21" s="404"/>
      <c r="GF21" s="404"/>
      <c r="GG21" s="404"/>
      <c r="GH21" s="404"/>
      <c r="GI21" s="404"/>
      <c r="GJ21" s="404"/>
      <c r="GK21" s="404"/>
      <c r="GL21" s="404"/>
      <c r="GM21" s="404"/>
      <c r="GN21" s="404"/>
      <c r="GO21" s="404"/>
      <c r="GP21" s="404"/>
      <c r="GQ21" s="404"/>
      <c r="GR21" s="404"/>
      <c r="GS21" s="404"/>
      <c r="GT21" s="404"/>
      <c r="GU21" s="404"/>
      <c r="GV21" s="404"/>
      <c r="GW21" s="404"/>
      <c r="GX21" s="404"/>
      <c r="GY21" s="404"/>
      <c r="GZ21" s="404"/>
      <c r="HA21" s="404"/>
      <c r="HB21" s="404"/>
      <c r="HC21" s="404"/>
      <c r="HD21" s="404"/>
      <c r="HE21" s="404"/>
      <c r="HF21" s="404"/>
      <c r="HG21" s="404"/>
      <c r="HH21" s="404"/>
      <c r="HI21" s="404"/>
      <c r="HJ21" s="404"/>
      <c r="HK21" s="404"/>
      <c r="HL21" s="404"/>
      <c r="HM21" s="404"/>
      <c r="HN21" s="404"/>
      <c r="HO21" s="404"/>
      <c r="HP21" s="404"/>
      <c r="HQ21" s="404"/>
    </row>
    <row r="22" spans="1:225" ht="14.4" x14ac:dyDescent="0.3">
      <c r="A22" s="408" t="s">
        <v>511</v>
      </c>
      <c r="B22" s="714">
        <f>+B13-B21</f>
        <v>80.99199999999999</v>
      </c>
      <c r="C22" s="717"/>
      <c r="D22" s="714">
        <f>+D13-D21</f>
        <v>94.970999999999989</v>
      </c>
      <c r="E22" s="717"/>
      <c r="F22" s="714">
        <f>+F13-F21</f>
        <v>95.531999999999996</v>
      </c>
      <c r="G22" s="717"/>
      <c r="H22" s="713">
        <f t="shared" si="2"/>
        <v>100.5907066367628</v>
      </c>
      <c r="I22" s="409" t="s">
        <v>140</v>
      </c>
      <c r="J22" s="404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4"/>
      <c r="AI22" s="404"/>
      <c r="AJ22" s="404"/>
      <c r="AK22" s="404"/>
      <c r="AL22" s="404"/>
      <c r="AM22" s="404"/>
      <c r="AN22" s="404"/>
      <c r="AO22" s="404"/>
      <c r="AP22" s="404"/>
      <c r="AQ22" s="404"/>
      <c r="AR22" s="404"/>
      <c r="AS22" s="404"/>
      <c r="AT22" s="404"/>
      <c r="AU22" s="404"/>
      <c r="AV22" s="404"/>
      <c r="AW22" s="404"/>
      <c r="AX22" s="404"/>
      <c r="AY22" s="404"/>
      <c r="AZ22" s="404"/>
      <c r="BA22" s="404"/>
      <c r="BB22" s="404"/>
      <c r="BC22" s="404"/>
      <c r="BD22" s="404"/>
      <c r="BE22" s="404"/>
      <c r="BF22" s="404"/>
      <c r="BG22" s="404"/>
      <c r="BH22" s="404"/>
      <c r="BI22" s="404"/>
      <c r="BJ22" s="404"/>
      <c r="BK22" s="404"/>
      <c r="BL22" s="404"/>
      <c r="BM22" s="404"/>
      <c r="BN22" s="404"/>
      <c r="BO22" s="404"/>
      <c r="BP22" s="404"/>
      <c r="BQ22" s="404"/>
      <c r="BR22" s="404"/>
      <c r="BS22" s="404"/>
      <c r="BT22" s="404"/>
      <c r="BU22" s="404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 s="404"/>
      <c r="FS22" s="404"/>
      <c r="FT22" s="404"/>
      <c r="FU22" s="404"/>
      <c r="FV22" s="404"/>
      <c r="FW22" s="404"/>
      <c r="FX22" s="404"/>
      <c r="FY22" s="404"/>
      <c r="FZ22" s="404"/>
      <c r="GA22" s="404"/>
      <c r="GB22" s="404"/>
      <c r="GC22" s="404"/>
      <c r="GD22" s="404"/>
      <c r="GE22" s="404"/>
      <c r="GF22" s="404"/>
      <c r="GG22" s="404"/>
      <c r="GH22" s="404"/>
      <c r="GI22" s="404"/>
      <c r="GJ22" s="404"/>
      <c r="GK22" s="404"/>
      <c r="GL22" s="404"/>
      <c r="GM22" s="404"/>
      <c r="GN22" s="404"/>
      <c r="GO22" s="404"/>
      <c r="GP22" s="404"/>
      <c r="GQ22" s="404"/>
      <c r="GR22" s="404"/>
      <c r="GS22" s="404"/>
      <c r="GT22" s="404"/>
      <c r="GU22" s="404"/>
      <c r="GV22" s="404"/>
      <c r="GW22" s="404"/>
      <c r="GX22" s="404"/>
      <c r="GY22" s="404"/>
      <c r="GZ22" s="404"/>
      <c r="HA22" s="404"/>
      <c r="HB22" s="404"/>
      <c r="HC22" s="404"/>
      <c r="HD22" s="404"/>
      <c r="HE22" s="404"/>
      <c r="HF22" s="404"/>
      <c r="HG22" s="404"/>
      <c r="HH22" s="404"/>
      <c r="HI22" s="404"/>
      <c r="HJ22" s="404"/>
      <c r="HK22" s="404"/>
      <c r="HL22" s="404"/>
      <c r="HM22" s="404"/>
      <c r="HN22" s="404"/>
      <c r="HO22" s="404"/>
      <c r="HP22" s="404"/>
      <c r="HQ22" s="404"/>
    </row>
    <row r="23" spans="1:225" ht="14.4" x14ac:dyDescent="0.3">
      <c r="A23" s="408" t="s">
        <v>512</v>
      </c>
      <c r="B23" s="711"/>
      <c r="C23" s="716"/>
      <c r="D23" s="711"/>
      <c r="E23" s="716"/>
      <c r="F23" s="711"/>
      <c r="G23" s="716"/>
      <c r="H23" s="713" t="str">
        <f t="shared" si="2"/>
        <v>-</v>
      </c>
      <c r="I23" s="404"/>
      <c r="J23" s="404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4"/>
      <c r="AI23" s="404"/>
      <c r="AJ23" s="404"/>
      <c r="AK23" s="404"/>
      <c r="AL23" s="404"/>
      <c r="AM23" s="404"/>
      <c r="AN23" s="404"/>
      <c r="AO23" s="404"/>
      <c r="AP23" s="404"/>
      <c r="AQ23" s="404"/>
      <c r="AR23" s="404"/>
      <c r="AS23" s="404"/>
      <c r="AT23" s="404"/>
      <c r="AU23" s="404"/>
      <c r="AV23" s="404"/>
      <c r="AW23" s="404"/>
      <c r="AX23" s="404"/>
      <c r="AY23" s="404"/>
      <c r="AZ23" s="404"/>
      <c r="BA23" s="404"/>
      <c r="BB23" s="404"/>
      <c r="BC23" s="404"/>
      <c r="BD23" s="404"/>
      <c r="BE23" s="404"/>
      <c r="BF23" s="404"/>
      <c r="BG23" s="404"/>
      <c r="BH23" s="404"/>
      <c r="BI23" s="404"/>
      <c r="BJ23" s="404"/>
      <c r="BK23" s="404"/>
      <c r="BL23" s="404"/>
      <c r="BM23" s="404"/>
      <c r="BN23" s="404"/>
      <c r="BO23" s="404"/>
      <c r="BP23" s="404"/>
      <c r="BQ23" s="404"/>
      <c r="BR23" s="404"/>
      <c r="BS23" s="404"/>
      <c r="BT23" s="404"/>
      <c r="BU23" s="404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 s="404"/>
      <c r="FS23" s="404"/>
      <c r="FT23" s="404"/>
      <c r="FU23" s="404"/>
      <c r="FV23" s="404"/>
      <c r="FW23" s="404"/>
      <c r="FX23" s="404"/>
      <c r="FY23" s="404"/>
      <c r="FZ23" s="404"/>
      <c r="GA23" s="404"/>
      <c r="GB23" s="404"/>
      <c r="GC23" s="404"/>
      <c r="GD23" s="404"/>
      <c r="GE23" s="404"/>
      <c r="GF23" s="404"/>
      <c r="GG23" s="404"/>
      <c r="GH23" s="404"/>
      <c r="GI23" s="404"/>
      <c r="GJ23" s="404"/>
      <c r="GK23" s="404"/>
      <c r="GL23" s="404"/>
      <c r="GM23" s="404"/>
      <c r="GN23" s="404"/>
      <c r="GO23" s="404"/>
      <c r="GP23" s="404"/>
      <c r="GQ23" s="404"/>
      <c r="GR23" s="404"/>
      <c r="GS23" s="404"/>
      <c r="GT23" s="404"/>
      <c r="GU23" s="404"/>
      <c r="GV23" s="404"/>
      <c r="GW23" s="404"/>
      <c r="GX23" s="404"/>
      <c r="GY23" s="404"/>
      <c r="GZ23" s="404"/>
      <c r="HA23" s="404"/>
      <c r="HB23" s="404"/>
      <c r="HC23" s="404"/>
      <c r="HD23" s="404"/>
      <c r="HE23" s="404"/>
      <c r="HF23" s="404"/>
      <c r="HG23" s="404"/>
      <c r="HH23" s="404"/>
      <c r="HI23" s="404"/>
      <c r="HJ23" s="404"/>
      <c r="HK23" s="404"/>
      <c r="HL23" s="404"/>
      <c r="HM23" s="404"/>
      <c r="HN23" s="404"/>
      <c r="HO23" s="404"/>
      <c r="HP23" s="404"/>
      <c r="HQ23" s="404"/>
    </row>
    <row r="24" spans="1:225" ht="14.4" x14ac:dyDescent="0.3">
      <c r="A24" s="147" t="s">
        <v>513</v>
      </c>
      <c r="B24" s="711">
        <v>4.5350000000000001</v>
      </c>
      <c r="C24" s="712">
        <f>IF(B$30&lt;&gt;0,B24*100/B$30,"-")</f>
        <v>8.719141736522344</v>
      </c>
      <c r="D24" s="711">
        <v>5.0739999999999998</v>
      </c>
      <c r="E24" s="712">
        <f>IF(D$30&lt;&gt;0,D24*100/D$30,"-")</f>
        <v>8.6677257896445106</v>
      </c>
      <c r="F24" s="711">
        <v>5.2910000000000004</v>
      </c>
      <c r="G24" s="712">
        <f>IF(F$30&lt;&gt;0,F24*100/F$30,"-")</f>
        <v>8.3925512340587538</v>
      </c>
      <c r="H24" s="713">
        <f t="shared" si="2"/>
        <v>104.2767047694127</v>
      </c>
      <c r="I24" s="404" t="s">
        <v>330</v>
      </c>
      <c r="J24" s="404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4"/>
      <c r="AI24" s="404"/>
      <c r="AJ24" s="404"/>
      <c r="AK24" s="404"/>
      <c r="AL24" s="404"/>
      <c r="AM24" s="404"/>
      <c r="AN24" s="404"/>
      <c r="AO24" s="404"/>
      <c r="AP24" s="404"/>
      <c r="AQ24" s="404"/>
      <c r="AR24" s="404"/>
      <c r="AS24" s="404"/>
      <c r="AT24" s="404"/>
      <c r="AU24" s="404"/>
      <c r="AV24" s="404"/>
      <c r="AW24" s="404"/>
      <c r="AX24" s="404"/>
      <c r="AY24" s="404"/>
      <c r="AZ24" s="404"/>
      <c r="BA24" s="404"/>
      <c r="BB24" s="404"/>
      <c r="BC24" s="404"/>
      <c r="BD24" s="404"/>
      <c r="BE24" s="404"/>
      <c r="BF24" s="404"/>
      <c r="BG24" s="404"/>
      <c r="BH24" s="404"/>
      <c r="BI24" s="404"/>
      <c r="BJ24" s="404"/>
      <c r="BK24" s="404"/>
      <c r="BL24" s="404"/>
      <c r="BM24" s="404"/>
      <c r="BN24" s="404"/>
      <c r="BO24" s="404"/>
      <c r="BP24" s="404"/>
      <c r="BQ24" s="404"/>
      <c r="BR24" s="404"/>
      <c r="BS24" s="404"/>
      <c r="BT24" s="404"/>
      <c r="BU24" s="40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 s="404"/>
      <c r="FS24" s="404"/>
      <c r="FT24" s="404"/>
      <c r="FU24" s="404"/>
      <c r="FV24" s="404"/>
      <c r="FW24" s="404"/>
      <c r="FX24" s="404"/>
      <c r="FY24" s="404"/>
      <c r="FZ24" s="404"/>
      <c r="GA24" s="404"/>
      <c r="GB24" s="404"/>
      <c r="GC24" s="404"/>
      <c r="GD24" s="404"/>
      <c r="GE24" s="404"/>
      <c r="GF24" s="404"/>
      <c r="GG24" s="404"/>
      <c r="GH24" s="404"/>
      <c r="GI24" s="404"/>
      <c r="GJ24" s="404"/>
      <c r="GK24" s="404"/>
      <c r="GL24" s="404"/>
      <c r="GM24" s="404"/>
      <c r="GN24" s="404"/>
      <c r="GO24" s="404"/>
      <c r="GP24" s="404"/>
      <c r="GQ24" s="404"/>
      <c r="GR24" s="404"/>
      <c r="GS24" s="404"/>
      <c r="GT24" s="404"/>
      <c r="GU24" s="404"/>
      <c r="GV24" s="404"/>
      <c r="GW24" s="404"/>
      <c r="GX24" s="404"/>
      <c r="GY24" s="404"/>
      <c r="GZ24" s="404"/>
      <c r="HA24" s="404"/>
      <c r="HB24" s="404"/>
      <c r="HC24" s="404"/>
      <c r="HD24" s="404"/>
      <c r="HE24" s="404"/>
      <c r="HF24" s="404"/>
      <c r="HG24" s="404"/>
      <c r="HH24" s="404"/>
      <c r="HI24" s="404"/>
      <c r="HJ24" s="404"/>
      <c r="HK24" s="404"/>
      <c r="HL24" s="404"/>
      <c r="HM24" s="404"/>
      <c r="HN24" s="404"/>
      <c r="HO24" s="404"/>
      <c r="HP24" s="404"/>
      <c r="HQ24" s="404"/>
    </row>
    <row r="25" spans="1:225" ht="14.4" x14ac:dyDescent="0.3">
      <c r="A25" s="147" t="s">
        <v>514</v>
      </c>
      <c r="B25" s="711">
        <v>1.256</v>
      </c>
      <c r="C25" s="712">
        <f t="shared" ref="C25:E29" si="16">IF(B$30&lt;&gt;0,B25*100/B$30,"-")</f>
        <v>2.4148273475351849</v>
      </c>
      <c r="D25" s="711">
        <v>1.0249999999999999</v>
      </c>
      <c r="E25" s="712">
        <f t="shared" si="16"/>
        <v>1.7509694391773005</v>
      </c>
      <c r="F25" s="711">
        <v>1.198</v>
      </c>
      <c r="G25" s="712">
        <f t="shared" ref="G25" si="17">IF(F$30&lt;&gt;0,F25*100/F$30,"-")</f>
        <v>1.9002601357781868</v>
      </c>
      <c r="H25" s="713">
        <f t="shared" si="2"/>
        <v>116.87804878048782</v>
      </c>
      <c r="I25" s="404" t="s">
        <v>331</v>
      </c>
      <c r="J25" s="404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4"/>
      <c r="AJ25" s="404"/>
      <c r="AK25" s="404"/>
      <c r="AL25" s="404"/>
      <c r="AM25" s="404"/>
      <c r="AN25" s="404"/>
      <c r="AO25" s="404"/>
      <c r="AP25" s="404"/>
      <c r="AQ25" s="404"/>
      <c r="AR25" s="404"/>
      <c r="AS25" s="404"/>
      <c r="AT25" s="404"/>
      <c r="AU25" s="404"/>
      <c r="AV25" s="404"/>
      <c r="AW25" s="404"/>
      <c r="AX25" s="404"/>
      <c r="AY25" s="404"/>
      <c r="AZ25" s="404"/>
      <c r="BA25" s="404"/>
      <c r="BB25" s="404"/>
      <c r="BC25" s="404"/>
      <c r="BD25" s="404"/>
      <c r="BE25" s="404"/>
      <c r="BF25" s="404"/>
      <c r="BG25" s="404"/>
      <c r="BH25" s="404"/>
      <c r="BI25" s="404"/>
      <c r="BJ25" s="404"/>
      <c r="BK25" s="404"/>
      <c r="BL25" s="404"/>
      <c r="BM25" s="404"/>
      <c r="BN25" s="404"/>
      <c r="BO25" s="404"/>
      <c r="BP25" s="404"/>
      <c r="BQ25" s="404"/>
      <c r="BR25" s="404"/>
      <c r="BS25" s="404"/>
      <c r="BT25" s="404"/>
      <c r="BU25" s="404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 s="404"/>
      <c r="FS25" s="404"/>
      <c r="FT25" s="404"/>
      <c r="FU25" s="404"/>
      <c r="FV25" s="404"/>
      <c r="FW25" s="404"/>
      <c r="FX25" s="404"/>
      <c r="FY25" s="404"/>
      <c r="FZ25" s="404"/>
      <c r="GA25" s="404"/>
      <c r="GB25" s="404"/>
      <c r="GC25" s="404"/>
      <c r="GD25" s="404"/>
      <c r="GE25" s="404"/>
      <c r="GF25" s="404"/>
      <c r="GG25" s="404"/>
      <c r="GH25" s="404"/>
      <c r="GI25" s="404"/>
      <c r="GJ25" s="404"/>
      <c r="GK25" s="404"/>
      <c r="GL25" s="404"/>
      <c r="GM25" s="404"/>
      <c r="GN25" s="404"/>
      <c r="GO25" s="404"/>
      <c r="GP25" s="404"/>
      <c r="GQ25" s="404"/>
      <c r="GR25" s="404"/>
      <c r="GS25" s="404"/>
      <c r="GT25" s="404"/>
      <c r="GU25" s="404"/>
      <c r="GV25" s="404"/>
      <c r="GW25" s="404"/>
      <c r="GX25" s="404"/>
      <c r="GY25" s="404"/>
      <c r="GZ25" s="404"/>
      <c r="HA25" s="404"/>
      <c r="HB25" s="404"/>
      <c r="HC25" s="404"/>
      <c r="HD25" s="404"/>
      <c r="HE25" s="404"/>
      <c r="HF25" s="404"/>
      <c r="HG25" s="404"/>
      <c r="HH25" s="404"/>
      <c r="HI25" s="404"/>
      <c r="HJ25" s="404"/>
      <c r="HK25" s="404"/>
      <c r="HL25" s="404"/>
      <c r="HM25" s="404"/>
      <c r="HN25" s="404"/>
      <c r="HO25" s="404"/>
      <c r="HP25" s="404"/>
      <c r="HQ25" s="404"/>
    </row>
    <row r="26" spans="1:225" ht="14.4" x14ac:dyDescent="0.3">
      <c r="A26" s="147" t="s">
        <v>515</v>
      </c>
      <c r="B26" s="711">
        <v>3.0459999999999998</v>
      </c>
      <c r="C26" s="712">
        <f t="shared" si="16"/>
        <v>5.8563408444205196</v>
      </c>
      <c r="D26" s="711">
        <v>3.1789999999999998</v>
      </c>
      <c r="E26" s="712">
        <f t="shared" si="16"/>
        <v>5.4305676557508669</v>
      </c>
      <c r="F26" s="711">
        <v>3.4649999999999999</v>
      </c>
      <c r="G26" s="712">
        <f t="shared" ref="G26" si="18">IF(F$30&lt;&gt;0,F26*100/F$30,"-")</f>
        <v>5.4961614110779777</v>
      </c>
      <c r="H26" s="713">
        <f t="shared" si="2"/>
        <v>108.99653979238755</v>
      </c>
      <c r="I26" s="407" t="s">
        <v>332</v>
      </c>
      <c r="J26" s="404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4"/>
      <c r="AI26" s="404"/>
      <c r="AJ26" s="404"/>
      <c r="AK26" s="404"/>
      <c r="AL26" s="404"/>
      <c r="AM26" s="404"/>
      <c r="AN26" s="404"/>
      <c r="AO26" s="404"/>
      <c r="AP26" s="404"/>
      <c r="AQ26" s="404"/>
      <c r="AR26" s="404"/>
      <c r="AS26" s="404"/>
      <c r="AT26" s="404"/>
      <c r="AU26" s="404"/>
      <c r="AV26" s="404"/>
      <c r="AW26" s="404"/>
      <c r="AX26" s="404"/>
      <c r="AY26" s="404"/>
      <c r="AZ26" s="404"/>
      <c r="BA26" s="404"/>
      <c r="BB26" s="404"/>
      <c r="BC26" s="404"/>
      <c r="BD26" s="404"/>
      <c r="BE26" s="404"/>
      <c r="BF26" s="404"/>
      <c r="BG26" s="404"/>
      <c r="BH26" s="404"/>
      <c r="BI26" s="404"/>
      <c r="BJ26" s="404"/>
      <c r="BK26" s="404"/>
      <c r="BL26" s="404"/>
      <c r="BM26" s="404"/>
      <c r="BN26" s="404"/>
      <c r="BO26" s="404"/>
      <c r="BP26" s="404"/>
      <c r="BQ26" s="404"/>
      <c r="BR26" s="404"/>
      <c r="BS26" s="404"/>
      <c r="BT26" s="404"/>
      <c r="BU26" s="404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 s="404"/>
      <c r="FS26" s="404"/>
      <c r="FT26" s="404"/>
      <c r="FU26" s="404"/>
      <c r="FV26" s="404"/>
      <c r="FW26" s="404"/>
      <c r="FX26" s="404"/>
      <c r="FY26" s="404"/>
      <c r="FZ26" s="404"/>
      <c r="GA26" s="404"/>
      <c r="GB26" s="404"/>
      <c r="GC26" s="404"/>
      <c r="GD26" s="404"/>
      <c r="GE26" s="404"/>
      <c r="GF26" s="404"/>
      <c r="GG26" s="404"/>
      <c r="GH26" s="404"/>
      <c r="GI26" s="404"/>
      <c r="GJ26" s="404"/>
      <c r="GK26" s="404"/>
      <c r="GL26" s="404"/>
      <c r="GM26" s="404"/>
      <c r="GN26" s="404"/>
      <c r="GO26" s="404"/>
      <c r="GP26" s="404"/>
      <c r="GQ26" s="404"/>
      <c r="GR26" s="404"/>
      <c r="GS26" s="404"/>
      <c r="GT26" s="404"/>
      <c r="GU26" s="404"/>
      <c r="GV26" s="404"/>
      <c r="GW26" s="404"/>
      <c r="GX26" s="404"/>
      <c r="GY26" s="404"/>
      <c r="GZ26" s="404"/>
      <c r="HA26" s="404"/>
      <c r="HB26" s="404"/>
      <c r="HC26" s="404"/>
      <c r="HD26" s="404"/>
      <c r="HE26" s="404"/>
      <c r="HF26" s="404"/>
      <c r="HG26" s="404"/>
      <c r="HH26" s="404"/>
      <c r="HI26" s="404"/>
      <c r="HJ26" s="404"/>
      <c r="HK26" s="404"/>
      <c r="HL26" s="404"/>
      <c r="HM26" s="404"/>
      <c r="HN26" s="404"/>
      <c r="HO26" s="404"/>
      <c r="HP26" s="404"/>
      <c r="HQ26" s="404"/>
    </row>
    <row r="27" spans="1:225" ht="14.4" x14ac:dyDescent="0.3">
      <c r="A27" s="147" t="s">
        <v>516</v>
      </c>
      <c r="B27" s="711">
        <v>36.845999999999997</v>
      </c>
      <c r="C27" s="712">
        <f t="shared" si="16"/>
        <v>70.841344305160362</v>
      </c>
      <c r="D27" s="711">
        <v>40.795000000000002</v>
      </c>
      <c r="E27" s="712">
        <f t="shared" si="16"/>
        <v>69.688583679256567</v>
      </c>
      <c r="F27" s="711">
        <v>44.609000000000002</v>
      </c>
      <c r="G27" s="712">
        <f t="shared" ref="G27" si="19">IF(F$30&lt;&gt;0,F27*100/F$30,"-")</f>
        <v>70.758517860541858</v>
      </c>
      <c r="H27" s="713">
        <f t="shared" si="2"/>
        <v>109.34918494913593</v>
      </c>
      <c r="I27" s="404" t="s">
        <v>333</v>
      </c>
      <c r="J27" s="404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4"/>
      <c r="AJ27" s="404"/>
      <c r="AK27" s="404"/>
      <c r="AL27" s="404"/>
      <c r="AM27" s="404"/>
      <c r="AN27" s="404"/>
      <c r="AO27" s="404"/>
      <c r="AP27" s="404"/>
      <c r="AQ27" s="404"/>
      <c r="AR27" s="404"/>
      <c r="AS27" s="404"/>
      <c r="AT27" s="404"/>
      <c r="AU27" s="404"/>
      <c r="AV27" s="404"/>
      <c r="AW27" s="404"/>
      <c r="AX27" s="404"/>
      <c r="AY27" s="404"/>
      <c r="AZ27" s="404"/>
      <c r="BA27" s="404"/>
      <c r="BB27" s="404"/>
      <c r="BC27" s="404"/>
      <c r="BD27" s="404"/>
      <c r="BE27" s="404"/>
      <c r="BF27" s="404"/>
      <c r="BG27" s="404"/>
      <c r="BH27" s="404"/>
      <c r="BI27" s="404"/>
      <c r="BJ27" s="404"/>
      <c r="BK27" s="404"/>
      <c r="BL27" s="404"/>
      <c r="BM27" s="404"/>
      <c r="BN27" s="404"/>
      <c r="BO27" s="404"/>
      <c r="BP27" s="404"/>
      <c r="BQ27" s="404"/>
      <c r="BR27" s="404"/>
      <c r="BS27" s="404"/>
      <c r="BT27" s="404"/>
      <c r="BU27" s="404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 s="404"/>
      <c r="FS27" s="404"/>
      <c r="FT27" s="404"/>
      <c r="FU27" s="404"/>
      <c r="FV27" s="404"/>
      <c r="FW27" s="404"/>
      <c r="FX27" s="404"/>
      <c r="FY27" s="404"/>
      <c r="FZ27" s="404"/>
      <c r="GA27" s="404"/>
      <c r="GB27" s="404"/>
      <c r="GC27" s="404"/>
      <c r="GD27" s="404"/>
      <c r="GE27" s="404"/>
      <c r="GF27" s="404"/>
      <c r="GG27" s="404"/>
      <c r="GH27" s="404"/>
      <c r="GI27" s="404"/>
      <c r="GJ27" s="404"/>
      <c r="GK27" s="404"/>
      <c r="GL27" s="404"/>
      <c r="GM27" s="404"/>
      <c r="GN27" s="404"/>
      <c r="GO27" s="404"/>
      <c r="GP27" s="404"/>
      <c r="GQ27" s="404"/>
      <c r="GR27" s="404"/>
      <c r="GS27" s="404"/>
      <c r="GT27" s="404"/>
      <c r="GU27" s="404"/>
      <c r="GV27" s="404"/>
      <c r="GW27" s="404"/>
      <c r="GX27" s="404"/>
      <c r="GY27" s="404"/>
      <c r="GZ27" s="404"/>
      <c r="HA27" s="404"/>
      <c r="HB27" s="404"/>
      <c r="HC27" s="404"/>
      <c r="HD27" s="404"/>
      <c r="HE27" s="404"/>
      <c r="HF27" s="404"/>
      <c r="HG27" s="404"/>
      <c r="HH27" s="404"/>
      <c r="HI27" s="404"/>
      <c r="HJ27" s="404"/>
      <c r="HK27" s="404"/>
      <c r="HL27" s="404"/>
      <c r="HM27" s="404"/>
      <c r="HN27" s="404"/>
      <c r="HO27" s="404"/>
      <c r="HP27" s="404"/>
      <c r="HQ27" s="404"/>
    </row>
    <row r="28" spans="1:225" ht="14.4" x14ac:dyDescent="0.3">
      <c r="A28" s="147" t="s">
        <v>517</v>
      </c>
      <c r="B28" s="711">
        <v>4.1000000000000002E-2</v>
      </c>
      <c r="C28" s="712">
        <f t="shared" si="16"/>
        <v>7.8827962777820532E-2</v>
      </c>
      <c r="D28" s="711">
        <v>3.2000000000000001E-2</v>
      </c>
      <c r="E28" s="712">
        <f t="shared" si="16"/>
        <v>5.4664411759681591E-2</v>
      </c>
      <c r="F28" s="711">
        <v>3.7999999999999999E-2</v>
      </c>
      <c r="G28" s="712">
        <f t="shared" ref="G28" si="20">IF(F$30&lt;&gt;0,F28*100/F$30,"-")</f>
        <v>6.0275363238373202E-2</v>
      </c>
      <c r="H28" s="713">
        <f t="shared" si="2"/>
        <v>118.74999999999999</v>
      </c>
      <c r="I28" s="407" t="s">
        <v>334</v>
      </c>
      <c r="J28" s="404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4"/>
      <c r="AJ28" s="404"/>
      <c r="AK28" s="404"/>
      <c r="AL28" s="404"/>
      <c r="AM28" s="404"/>
      <c r="AN28" s="404"/>
      <c r="AO28" s="404"/>
      <c r="AP28" s="404"/>
      <c r="AQ28" s="404"/>
      <c r="AR28" s="404"/>
      <c r="AS28" s="404"/>
      <c r="AT28" s="404"/>
      <c r="AU28" s="404"/>
      <c r="AV28" s="404"/>
      <c r="AW28" s="404"/>
      <c r="AX28" s="404"/>
      <c r="AY28" s="404"/>
      <c r="AZ28" s="404"/>
      <c r="BA28" s="404"/>
      <c r="BB28" s="404"/>
      <c r="BC28" s="404"/>
      <c r="BD28" s="404"/>
      <c r="BE28" s="404"/>
      <c r="BF28" s="404"/>
      <c r="BG28" s="404"/>
      <c r="BH28" s="404"/>
      <c r="BI28" s="404"/>
      <c r="BJ28" s="404"/>
      <c r="BK28" s="404"/>
      <c r="BL28" s="404"/>
      <c r="BM28" s="404"/>
      <c r="BN28" s="404"/>
      <c r="BO28" s="404"/>
      <c r="BP28" s="404"/>
      <c r="BQ28" s="404"/>
      <c r="BR28" s="404"/>
      <c r="BS28" s="404"/>
      <c r="BT28" s="404"/>
      <c r="BU28" s="404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 s="404"/>
      <c r="FS28" s="404"/>
      <c r="FT28" s="404"/>
      <c r="FU28" s="404"/>
      <c r="FV28" s="404"/>
      <c r="FW28" s="404"/>
      <c r="FX28" s="404"/>
      <c r="FY28" s="404"/>
      <c r="FZ28" s="404"/>
      <c r="GA28" s="404"/>
      <c r="GB28" s="404"/>
      <c r="GC28" s="404"/>
      <c r="GD28" s="404"/>
      <c r="GE28" s="404"/>
      <c r="GF28" s="404"/>
      <c r="GG28" s="404"/>
      <c r="GH28" s="404"/>
      <c r="GI28" s="404"/>
      <c r="GJ28" s="404"/>
      <c r="GK28" s="404"/>
      <c r="GL28" s="404"/>
      <c r="GM28" s="404"/>
      <c r="GN28" s="404"/>
      <c r="GO28" s="404"/>
      <c r="GP28" s="404"/>
      <c r="GQ28" s="404"/>
      <c r="GR28" s="404"/>
      <c r="GS28" s="404"/>
      <c r="GT28" s="404"/>
      <c r="GU28" s="404"/>
      <c r="GV28" s="404"/>
      <c r="GW28" s="404"/>
      <c r="GX28" s="404"/>
      <c r="GY28" s="404"/>
      <c r="GZ28" s="404"/>
      <c r="HA28" s="404"/>
      <c r="HB28" s="404"/>
      <c r="HC28" s="404"/>
      <c r="HD28" s="404"/>
      <c r="HE28" s="404"/>
      <c r="HF28" s="404"/>
      <c r="HG28" s="404"/>
      <c r="HH28" s="404"/>
      <c r="HI28" s="404"/>
      <c r="HJ28" s="404"/>
      <c r="HK28" s="404"/>
      <c r="HL28" s="404"/>
      <c r="HM28" s="404"/>
      <c r="HN28" s="404"/>
      <c r="HO28" s="404"/>
      <c r="HP28" s="404"/>
      <c r="HQ28" s="404"/>
    </row>
    <row r="29" spans="1:225" ht="14.4" x14ac:dyDescent="0.3">
      <c r="A29" s="147" t="s">
        <v>518</v>
      </c>
      <c r="B29" s="711">
        <v>6.2880000000000003</v>
      </c>
      <c r="C29" s="712">
        <f t="shared" si="16"/>
        <v>12.089517803583792</v>
      </c>
      <c r="D29" s="711">
        <v>8.4339999999999993</v>
      </c>
      <c r="E29" s="712">
        <f t="shared" si="16"/>
        <v>14.407489024411078</v>
      </c>
      <c r="F29" s="711">
        <v>8.4429999999999996</v>
      </c>
      <c r="G29" s="712">
        <f t="shared" ref="G29" si="21">IF(F$30&lt;&gt;0,F29*100/F$30,"-")</f>
        <v>13.392233995304867</v>
      </c>
      <c r="H29" s="713">
        <f t="shared" si="2"/>
        <v>100.10671093194215</v>
      </c>
      <c r="I29" s="404" t="s">
        <v>335</v>
      </c>
      <c r="J29" s="404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4"/>
      <c r="AJ29" s="404"/>
      <c r="AK29" s="404"/>
      <c r="AL29" s="404"/>
      <c r="AM29" s="404"/>
      <c r="AN29" s="404"/>
      <c r="AO29" s="404"/>
      <c r="AP29" s="404"/>
      <c r="AQ29" s="404"/>
      <c r="AR29" s="404"/>
      <c r="AS29" s="404"/>
      <c r="AT29" s="404"/>
      <c r="AU29" s="404"/>
      <c r="AV29" s="404"/>
      <c r="AW29" s="404"/>
      <c r="AX29" s="404"/>
      <c r="AY29" s="404"/>
      <c r="AZ29" s="404"/>
      <c r="BA29" s="404"/>
      <c r="BB29" s="404"/>
      <c r="BC29" s="404"/>
      <c r="BD29" s="404"/>
      <c r="BE29" s="404"/>
      <c r="BF29" s="404"/>
      <c r="BG29" s="404"/>
      <c r="BH29" s="404"/>
      <c r="BI29" s="404"/>
      <c r="BJ29" s="404"/>
      <c r="BK29" s="404"/>
      <c r="BL29" s="404"/>
      <c r="BM29" s="404"/>
      <c r="BN29" s="404"/>
      <c r="BO29" s="404"/>
      <c r="BP29" s="404"/>
      <c r="BQ29" s="404"/>
      <c r="BR29" s="404"/>
      <c r="BS29" s="404"/>
      <c r="BT29" s="404"/>
      <c r="BU29" s="404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 s="404"/>
      <c r="FS29" s="404"/>
      <c r="FT29" s="404"/>
      <c r="FU29" s="404"/>
      <c r="FV29" s="404"/>
      <c r="FW29" s="404"/>
      <c r="FX29" s="404"/>
      <c r="FY29" s="404"/>
      <c r="FZ29" s="404"/>
      <c r="GA29" s="404"/>
      <c r="GB29" s="404"/>
      <c r="GC29" s="404"/>
      <c r="GD29" s="404"/>
      <c r="GE29" s="404"/>
      <c r="GF29" s="404"/>
      <c r="GG29" s="404"/>
      <c r="GH29" s="404"/>
      <c r="GI29" s="404"/>
      <c r="GJ29" s="404"/>
      <c r="GK29" s="404"/>
      <c r="GL29" s="404"/>
      <c r="GM29" s="404"/>
      <c r="GN29" s="404"/>
      <c r="GO29" s="404"/>
      <c r="GP29" s="404"/>
      <c r="GQ29" s="404"/>
      <c r="GR29" s="404"/>
      <c r="GS29" s="404"/>
      <c r="GT29" s="404"/>
      <c r="GU29" s="404"/>
      <c r="GV29" s="404"/>
      <c r="GW29" s="404"/>
      <c r="GX29" s="404"/>
      <c r="GY29" s="404"/>
      <c r="GZ29" s="404"/>
      <c r="HA29" s="404"/>
      <c r="HB29" s="404"/>
      <c r="HC29" s="404"/>
      <c r="HD29" s="404"/>
      <c r="HE29" s="404"/>
      <c r="HF29" s="404"/>
      <c r="HG29" s="404"/>
      <c r="HH29" s="404"/>
      <c r="HI29" s="404"/>
      <c r="HJ29" s="404"/>
      <c r="HK29" s="404"/>
      <c r="HL29" s="404"/>
      <c r="HM29" s="404"/>
      <c r="HN29" s="404"/>
      <c r="HO29" s="404"/>
      <c r="HP29" s="404"/>
      <c r="HQ29" s="404"/>
    </row>
    <row r="30" spans="1:225" ht="14.4" x14ac:dyDescent="0.3">
      <c r="A30" s="408" t="s">
        <v>519</v>
      </c>
      <c r="B30" s="714">
        <f t="shared" ref="B30:G30" si="22">SUM(B24:B29)</f>
        <v>52.011999999999986</v>
      </c>
      <c r="C30" s="715">
        <f t="shared" si="22"/>
        <v>100.00000000000001</v>
      </c>
      <c r="D30" s="714">
        <f t="shared" si="22"/>
        <v>58.538999999999994</v>
      </c>
      <c r="E30" s="715">
        <f t="shared" si="22"/>
        <v>100.00000000000001</v>
      </c>
      <c r="F30" s="714">
        <f t="shared" si="22"/>
        <v>63.043999999999997</v>
      </c>
      <c r="G30" s="715">
        <f t="shared" si="22"/>
        <v>100.00000000000001</v>
      </c>
      <c r="H30" s="713">
        <f t="shared" si="2"/>
        <v>107.69572421804267</v>
      </c>
      <c r="I30" s="409" t="s">
        <v>336</v>
      </c>
      <c r="J30" s="404"/>
      <c r="K30" s="404"/>
      <c r="L30" s="404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  <c r="AG30" s="404"/>
      <c r="AH30" s="404"/>
      <c r="AI30" s="404"/>
      <c r="AJ30" s="404"/>
      <c r="AK30" s="404"/>
      <c r="AL30" s="404"/>
      <c r="AM30" s="404"/>
      <c r="AN30" s="404"/>
      <c r="AO30" s="404"/>
      <c r="AP30" s="404"/>
      <c r="AQ30" s="404"/>
      <c r="AR30" s="404"/>
      <c r="AS30" s="404"/>
      <c r="AT30" s="404"/>
      <c r="AU30" s="404"/>
      <c r="AV30" s="404"/>
      <c r="AW30" s="404"/>
      <c r="AX30" s="404"/>
      <c r="AY30" s="404"/>
      <c r="AZ30" s="404"/>
      <c r="BA30" s="404"/>
      <c r="BB30" s="404"/>
      <c r="BC30" s="404"/>
      <c r="BD30" s="404"/>
      <c r="BE30" s="404"/>
      <c r="BF30" s="404"/>
      <c r="BG30" s="404"/>
      <c r="BH30" s="404"/>
      <c r="BI30" s="404"/>
      <c r="BJ30" s="404"/>
      <c r="BK30" s="404"/>
      <c r="BL30" s="404"/>
      <c r="BM30" s="404"/>
      <c r="BN30" s="404"/>
      <c r="BO30" s="404"/>
      <c r="BP30" s="404"/>
      <c r="BQ30" s="404"/>
      <c r="BR30" s="404"/>
      <c r="BS30" s="404"/>
      <c r="BT30" s="404"/>
      <c r="BU30" s="404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 s="404"/>
      <c r="FS30" s="404"/>
      <c r="FT30" s="404"/>
      <c r="FU30" s="404"/>
      <c r="FV30" s="404"/>
      <c r="FW30" s="404"/>
      <c r="FX30" s="404"/>
      <c r="FY30" s="404"/>
      <c r="FZ30" s="404"/>
      <c r="GA30" s="404"/>
      <c r="GB30" s="404"/>
      <c r="GC30" s="404"/>
      <c r="GD30" s="404"/>
      <c r="GE30" s="404"/>
      <c r="GF30" s="404"/>
      <c r="GG30" s="404"/>
      <c r="GH30" s="404"/>
      <c r="GI30" s="404"/>
      <c r="GJ30" s="404"/>
      <c r="GK30" s="404"/>
      <c r="GL30" s="404"/>
      <c r="GM30" s="404"/>
      <c r="GN30" s="404"/>
      <c r="GO30" s="404"/>
      <c r="GP30" s="404"/>
      <c r="GQ30" s="404"/>
      <c r="GR30" s="404"/>
      <c r="GS30" s="404"/>
      <c r="GT30" s="404"/>
      <c r="GU30" s="404"/>
      <c r="GV30" s="404"/>
      <c r="GW30" s="404"/>
      <c r="GX30" s="404"/>
      <c r="GY30" s="404"/>
      <c r="GZ30" s="404"/>
      <c r="HA30" s="404"/>
      <c r="HB30" s="404"/>
      <c r="HC30" s="404"/>
      <c r="HD30" s="404"/>
      <c r="HE30" s="404"/>
      <c r="HF30" s="404"/>
      <c r="HG30" s="404"/>
      <c r="HH30" s="404"/>
      <c r="HI30" s="404"/>
      <c r="HJ30" s="404"/>
      <c r="HK30" s="404"/>
      <c r="HL30" s="404"/>
      <c r="HM30" s="404"/>
      <c r="HN30" s="404"/>
      <c r="HO30" s="404"/>
      <c r="HP30" s="404"/>
      <c r="HQ30" s="404"/>
    </row>
    <row r="31" spans="1:225" ht="14.4" x14ac:dyDescent="0.3">
      <c r="A31" s="408" t="s">
        <v>520</v>
      </c>
      <c r="B31" s="711"/>
      <c r="C31" s="716"/>
      <c r="D31" s="711"/>
      <c r="E31" s="716"/>
      <c r="F31" s="711"/>
      <c r="G31" s="716"/>
      <c r="H31" s="713" t="str">
        <f t="shared" si="2"/>
        <v>-</v>
      </c>
      <c r="I31" s="404"/>
      <c r="J31" s="404"/>
      <c r="K31" s="404"/>
      <c r="L31" s="404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4"/>
      <c r="AJ31" s="404"/>
      <c r="AK31" s="404"/>
      <c r="AL31" s="404"/>
      <c r="AM31" s="404"/>
      <c r="AN31" s="404"/>
      <c r="AO31" s="404"/>
      <c r="AP31" s="404"/>
      <c r="AQ31" s="404"/>
      <c r="AR31" s="404"/>
      <c r="AS31" s="404"/>
      <c r="AT31" s="404"/>
      <c r="AU31" s="404"/>
      <c r="AV31" s="404"/>
      <c r="AW31" s="404"/>
      <c r="AX31" s="404"/>
      <c r="AY31" s="404"/>
      <c r="AZ31" s="404"/>
      <c r="BA31" s="404"/>
      <c r="BB31" s="404"/>
      <c r="BC31" s="404"/>
      <c r="BD31" s="404"/>
      <c r="BE31" s="404"/>
      <c r="BF31" s="404"/>
      <c r="BG31" s="404"/>
      <c r="BH31" s="404"/>
      <c r="BI31" s="404"/>
      <c r="BJ31" s="404"/>
      <c r="BK31" s="404"/>
      <c r="BL31" s="404"/>
      <c r="BM31" s="404"/>
      <c r="BN31" s="404"/>
      <c r="BO31" s="404"/>
      <c r="BP31" s="404"/>
      <c r="BQ31" s="404"/>
      <c r="BR31" s="404"/>
      <c r="BS31" s="404"/>
      <c r="BT31" s="404"/>
      <c r="BU31" s="404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 s="404"/>
      <c r="FS31" s="404"/>
      <c r="FT31" s="404"/>
      <c r="FU31" s="404"/>
      <c r="FV31" s="404"/>
      <c r="FW31" s="404"/>
      <c r="FX31" s="404"/>
      <c r="FY31" s="404"/>
      <c r="FZ31" s="404"/>
      <c r="GA31" s="404"/>
      <c r="GB31" s="404"/>
      <c r="GC31" s="404"/>
      <c r="GD31" s="404"/>
      <c r="GE31" s="404"/>
      <c r="GF31" s="404"/>
      <c r="GG31" s="404"/>
      <c r="GH31" s="404"/>
      <c r="GI31" s="404"/>
      <c r="GJ31" s="404"/>
      <c r="GK31" s="404"/>
      <c r="GL31" s="404"/>
      <c r="GM31" s="404"/>
      <c r="GN31" s="404"/>
      <c r="GO31" s="404"/>
      <c r="GP31" s="404"/>
      <c r="GQ31" s="404"/>
      <c r="GR31" s="404"/>
      <c r="GS31" s="404"/>
      <c r="GT31" s="404"/>
      <c r="GU31" s="404"/>
      <c r="GV31" s="404"/>
      <c r="GW31" s="404"/>
      <c r="GX31" s="404"/>
      <c r="GY31" s="404"/>
      <c r="GZ31" s="404"/>
      <c r="HA31" s="404"/>
      <c r="HB31" s="404"/>
      <c r="HC31" s="404"/>
      <c r="HD31" s="404"/>
      <c r="HE31" s="404"/>
      <c r="HF31" s="404"/>
      <c r="HG31" s="404"/>
      <c r="HH31" s="404"/>
      <c r="HI31" s="404"/>
      <c r="HJ31" s="404"/>
      <c r="HK31" s="404"/>
      <c r="HL31" s="404"/>
      <c r="HM31" s="404"/>
      <c r="HN31" s="404"/>
      <c r="HO31" s="404"/>
      <c r="HP31" s="404"/>
      <c r="HQ31" s="404"/>
    </row>
    <row r="32" spans="1:225" ht="14.4" x14ac:dyDescent="0.3">
      <c r="A32" s="147" t="s">
        <v>208</v>
      </c>
      <c r="B32" s="711"/>
      <c r="C32" s="716"/>
      <c r="D32" s="711"/>
      <c r="E32" s="716"/>
      <c r="F32" s="711"/>
      <c r="G32" s="716"/>
      <c r="H32" s="713" t="str">
        <f t="shared" si="2"/>
        <v>-</v>
      </c>
      <c r="I32" s="404"/>
      <c r="J32" s="404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4"/>
      <c r="AI32" s="404"/>
      <c r="AJ32" s="404"/>
      <c r="AK32" s="404"/>
      <c r="AL32" s="404"/>
      <c r="AM32" s="404"/>
      <c r="AN32" s="404"/>
      <c r="AO32" s="404"/>
      <c r="AP32" s="404"/>
      <c r="AQ32" s="404"/>
      <c r="AR32" s="404"/>
      <c r="AS32" s="404"/>
      <c r="AT32" s="404"/>
      <c r="AU32" s="404"/>
      <c r="AV32" s="404"/>
      <c r="AW32" s="404"/>
      <c r="AX32" s="404"/>
      <c r="AY32" s="404"/>
      <c r="AZ32" s="404"/>
      <c r="BA32" s="404"/>
      <c r="BB32" s="404"/>
      <c r="BC32" s="404"/>
      <c r="BD32" s="404"/>
      <c r="BE32" s="404"/>
      <c r="BF32" s="404"/>
      <c r="BG32" s="404"/>
      <c r="BH32" s="404"/>
      <c r="BI32" s="404"/>
      <c r="BJ32" s="404"/>
      <c r="BK32" s="404"/>
      <c r="BL32" s="404"/>
      <c r="BM32" s="404"/>
      <c r="BN32" s="404"/>
      <c r="BO32" s="404"/>
      <c r="BP32" s="404"/>
      <c r="BQ32" s="404"/>
      <c r="BR32" s="404"/>
      <c r="BS32" s="404"/>
      <c r="BT32" s="404"/>
      <c r="BU32" s="404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 s="404"/>
      <c r="FS32" s="404"/>
      <c r="FT32" s="404"/>
      <c r="FU32" s="404"/>
      <c r="FV32" s="404"/>
      <c r="FW32" s="404"/>
      <c r="FX32" s="404"/>
      <c r="FY32" s="404"/>
      <c r="FZ32" s="404"/>
      <c r="GA32" s="404"/>
      <c r="GB32" s="404"/>
      <c r="GC32" s="404"/>
      <c r="GD32" s="404"/>
      <c r="GE32" s="404"/>
      <c r="GF32" s="404"/>
      <c r="GG32" s="404"/>
      <c r="GH32" s="404"/>
      <c r="GI32" s="404"/>
      <c r="GJ32" s="404"/>
      <c r="GK32" s="404"/>
      <c r="GL32" s="404"/>
      <c r="GM32" s="404"/>
      <c r="GN32" s="404"/>
      <c r="GO32" s="404"/>
      <c r="GP32" s="404"/>
      <c r="GQ32" s="404"/>
      <c r="GR32" s="404"/>
      <c r="GS32" s="404"/>
      <c r="GT32" s="404"/>
      <c r="GU32" s="404"/>
      <c r="GV32" s="404"/>
      <c r="GW32" s="404"/>
      <c r="GX32" s="404"/>
      <c r="GY32" s="404"/>
      <c r="GZ32" s="404"/>
      <c r="HA32" s="404"/>
      <c r="HB32" s="404"/>
      <c r="HC32" s="404"/>
      <c r="HD32" s="404"/>
      <c r="HE32" s="404"/>
      <c r="HF32" s="404"/>
      <c r="HG32" s="404"/>
      <c r="HH32" s="404"/>
      <c r="HI32" s="404"/>
      <c r="HJ32" s="404"/>
      <c r="HK32" s="404"/>
      <c r="HL32" s="404"/>
      <c r="HM32" s="404"/>
      <c r="HN32" s="404"/>
      <c r="HO32" s="404"/>
      <c r="HP32" s="404"/>
      <c r="HQ32" s="404"/>
    </row>
    <row r="33" spans="1:225" ht="14.4" x14ac:dyDescent="0.3">
      <c r="A33" s="147" t="s">
        <v>521</v>
      </c>
      <c r="B33" s="711">
        <v>0.40600000000000003</v>
      </c>
      <c r="C33" s="716"/>
      <c r="D33" s="711">
        <v>6.6440000000000001</v>
      </c>
      <c r="E33" s="716"/>
      <c r="F33" s="711">
        <v>6.0380000000000003</v>
      </c>
      <c r="G33" s="716"/>
      <c r="H33" s="713">
        <f t="shared" si="2"/>
        <v>90.878988561107775</v>
      </c>
      <c r="I33" s="404" t="s">
        <v>337</v>
      </c>
      <c r="J33" s="404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4"/>
      <c r="AI33" s="404"/>
      <c r="AJ33" s="404"/>
      <c r="AK33" s="404"/>
      <c r="AL33" s="404"/>
      <c r="AM33" s="404"/>
      <c r="AN33" s="404"/>
      <c r="AO33" s="404"/>
      <c r="AP33" s="404"/>
      <c r="AQ33" s="404"/>
      <c r="AR33" s="404"/>
      <c r="AS33" s="404"/>
      <c r="AT33" s="404"/>
      <c r="AU33" s="404"/>
      <c r="AV33" s="404"/>
      <c r="AW33" s="404"/>
      <c r="AX33" s="404"/>
      <c r="AY33" s="404"/>
      <c r="AZ33" s="404"/>
      <c r="BA33" s="404"/>
      <c r="BB33" s="404"/>
      <c r="BC33" s="404"/>
      <c r="BD33" s="404"/>
      <c r="BE33" s="404"/>
      <c r="BF33" s="404"/>
      <c r="BG33" s="404"/>
      <c r="BH33" s="404"/>
      <c r="BI33" s="404"/>
      <c r="BJ33" s="404"/>
      <c r="BK33" s="404"/>
      <c r="BL33" s="404"/>
      <c r="BM33" s="404"/>
      <c r="BN33" s="404"/>
      <c r="BO33" s="404"/>
      <c r="BP33" s="404"/>
      <c r="BQ33" s="404"/>
      <c r="BR33" s="404"/>
      <c r="BS33" s="404"/>
      <c r="BT33" s="404"/>
      <c r="BU33" s="404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 s="404"/>
      <c r="FS33" s="404"/>
      <c r="FT33" s="404"/>
      <c r="FU33" s="404"/>
      <c r="FV33" s="404"/>
      <c r="FW33" s="404"/>
      <c r="FX33" s="404"/>
      <c r="FY33" s="404"/>
      <c r="FZ33" s="404"/>
      <c r="GA33" s="404"/>
      <c r="GB33" s="404"/>
      <c r="GC33" s="404"/>
      <c r="GD33" s="404"/>
      <c r="GE33" s="404"/>
      <c r="GF33" s="404"/>
      <c r="GG33" s="404"/>
      <c r="GH33" s="404"/>
      <c r="GI33" s="404"/>
      <c r="GJ33" s="404"/>
      <c r="GK33" s="404"/>
      <c r="GL33" s="404"/>
      <c r="GM33" s="404"/>
      <c r="GN33" s="404"/>
      <c r="GO33" s="404"/>
      <c r="GP33" s="404"/>
      <c r="GQ33" s="404"/>
      <c r="GR33" s="404"/>
      <c r="GS33" s="404"/>
      <c r="GT33" s="404"/>
      <c r="GU33" s="404"/>
      <c r="GV33" s="404"/>
      <c r="GW33" s="404"/>
      <c r="GX33" s="404"/>
      <c r="GY33" s="404"/>
      <c r="GZ33" s="404"/>
      <c r="HA33" s="404"/>
      <c r="HB33" s="404"/>
      <c r="HC33" s="404"/>
      <c r="HD33" s="404"/>
      <c r="HE33" s="404"/>
      <c r="HF33" s="404"/>
      <c r="HG33" s="404"/>
      <c r="HH33" s="404"/>
      <c r="HI33" s="404"/>
      <c r="HJ33" s="404"/>
      <c r="HK33" s="404"/>
      <c r="HL33" s="404"/>
      <c r="HM33" s="404"/>
      <c r="HN33" s="404"/>
      <c r="HO33" s="404"/>
      <c r="HP33" s="404"/>
      <c r="HQ33" s="404"/>
    </row>
    <row r="34" spans="1:225" ht="14.4" x14ac:dyDescent="0.3">
      <c r="A34" s="147" t="s">
        <v>522</v>
      </c>
      <c r="B34" s="711">
        <v>11.629</v>
      </c>
      <c r="C34" s="716"/>
      <c r="D34" s="711">
        <v>13.016</v>
      </c>
      <c r="E34" s="716"/>
      <c r="F34" s="711">
        <v>14.651</v>
      </c>
      <c r="G34" s="716"/>
      <c r="H34" s="713">
        <f t="shared" si="2"/>
        <v>112.56146281499691</v>
      </c>
      <c r="I34" s="404" t="s">
        <v>338</v>
      </c>
      <c r="J34" s="404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4"/>
      <c r="AJ34" s="404"/>
      <c r="AK34" s="404"/>
      <c r="AL34" s="404"/>
      <c r="AM34" s="404"/>
      <c r="AN34" s="404"/>
      <c r="AO34" s="404"/>
      <c r="AP34" s="404"/>
      <c r="AQ34" s="404"/>
      <c r="AR34" s="404"/>
      <c r="AS34" s="404"/>
      <c r="AT34" s="404"/>
      <c r="AU34" s="404"/>
      <c r="AV34" s="404"/>
      <c r="AW34" s="404"/>
      <c r="AX34" s="404"/>
      <c r="AY34" s="404"/>
      <c r="AZ34" s="404"/>
      <c r="BA34" s="404"/>
      <c r="BB34" s="404"/>
      <c r="BC34" s="404"/>
      <c r="BD34" s="404"/>
      <c r="BE34" s="404"/>
      <c r="BF34" s="404"/>
      <c r="BG34" s="404"/>
      <c r="BH34" s="404"/>
      <c r="BI34" s="404"/>
      <c r="BJ34" s="404"/>
      <c r="BK34" s="404"/>
      <c r="BL34" s="404"/>
      <c r="BM34" s="404"/>
      <c r="BN34" s="404"/>
      <c r="BO34" s="404"/>
      <c r="BP34" s="404"/>
      <c r="BQ34" s="404"/>
      <c r="BR34" s="404"/>
      <c r="BS34" s="404"/>
      <c r="BT34" s="404"/>
      <c r="BU34" s="40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 s="404"/>
      <c r="FS34" s="404"/>
      <c r="FT34" s="404"/>
      <c r="FU34" s="404"/>
      <c r="FV34" s="404"/>
      <c r="FW34" s="404"/>
      <c r="FX34" s="404"/>
      <c r="FY34" s="404"/>
      <c r="FZ34" s="404"/>
      <c r="GA34" s="404"/>
      <c r="GB34" s="404"/>
      <c r="GC34" s="404"/>
      <c r="GD34" s="404"/>
      <c r="GE34" s="404"/>
      <c r="GF34" s="404"/>
      <c r="GG34" s="404"/>
      <c r="GH34" s="404"/>
      <c r="GI34" s="404"/>
      <c r="GJ34" s="404"/>
      <c r="GK34" s="404"/>
      <c r="GL34" s="404"/>
      <c r="GM34" s="404"/>
      <c r="GN34" s="404"/>
      <c r="GO34" s="404"/>
      <c r="GP34" s="404"/>
      <c r="GQ34" s="404"/>
      <c r="GR34" s="404"/>
      <c r="GS34" s="404"/>
      <c r="GT34" s="404"/>
      <c r="GU34" s="404"/>
      <c r="GV34" s="404"/>
      <c r="GW34" s="404"/>
      <c r="GX34" s="404"/>
      <c r="GY34" s="404"/>
      <c r="GZ34" s="404"/>
      <c r="HA34" s="404"/>
      <c r="HB34" s="404"/>
      <c r="HC34" s="404"/>
      <c r="HD34" s="404"/>
      <c r="HE34" s="404"/>
      <c r="HF34" s="404"/>
      <c r="HG34" s="404"/>
      <c r="HH34" s="404"/>
      <c r="HI34" s="404"/>
      <c r="HJ34" s="404"/>
      <c r="HK34" s="404"/>
      <c r="HL34" s="404"/>
      <c r="HM34" s="404"/>
      <c r="HN34" s="404"/>
      <c r="HO34" s="404"/>
      <c r="HP34" s="404"/>
      <c r="HQ34" s="404"/>
    </row>
    <row r="35" spans="1:225" ht="14.4" x14ac:dyDescent="0.3">
      <c r="A35" s="408" t="s">
        <v>523</v>
      </c>
      <c r="B35" s="714">
        <f>+B33+B34</f>
        <v>12.035</v>
      </c>
      <c r="C35" s="717"/>
      <c r="D35" s="714">
        <f>+D33+D34</f>
        <v>19.66</v>
      </c>
      <c r="E35" s="717"/>
      <c r="F35" s="714">
        <f>+F33+F34</f>
        <v>20.689</v>
      </c>
      <c r="G35" s="717"/>
      <c r="H35" s="713">
        <f t="shared" si="2"/>
        <v>105.23397761953206</v>
      </c>
      <c r="I35" s="409" t="s">
        <v>339</v>
      </c>
      <c r="J35" s="404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4"/>
      <c r="AI35" s="404"/>
      <c r="AJ35" s="404"/>
      <c r="AK35" s="404"/>
      <c r="AL35" s="404"/>
      <c r="AM35" s="404"/>
      <c r="AN35" s="404"/>
      <c r="AO35" s="404"/>
      <c r="AP35" s="404"/>
      <c r="AQ35" s="404"/>
      <c r="AR35" s="404"/>
      <c r="AS35" s="404"/>
      <c r="AT35" s="404"/>
      <c r="AU35" s="404"/>
      <c r="AV35" s="404"/>
      <c r="AW35" s="404"/>
      <c r="AX35" s="404"/>
      <c r="AY35" s="404"/>
      <c r="AZ35" s="404"/>
      <c r="BA35" s="404"/>
      <c r="BB35" s="404"/>
      <c r="BC35" s="404"/>
      <c r="BD35" s="404"/>
      <c r="BE35" s="404"/>
      <c r="BF35" s="404"/>
      <c r="BG35" s="404"/>
      <c r="BH35" s="404"/>
      <c r="BI35" s="404"/>
      <c r="BJ35" s="404"/>
      <c r="BK35" s="404"/>
      <c r="BL35" s="404"/>
      <c r="BM35" s="404"/>
      <c r="BN35" s="404"/>
      <c r="BO35" s="404"/>
      <c r="BP35" s="404"/>
      <c r="BQ35" s="404"/>
      <c r="BR35" s="404"/>
      <c r="BS35" s="404"/>
      <c r="BT35" s="404"/>
      <c r="BU35" s="404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 s="404"/>
      <c r="FS35" s="404"/>
      <c r="FT35" s="404"/>
      <c r="FU35" s="404"/>
      <c r="FV35" s="404"/>
      <c r="FW35" s="404"/>
      <c r="FX35" s="404"/>
      <c r="FY35" s="404"/>
      <c r="FZ35" s="404"/>
      <c r="GA35" s="404"/>
      <c r="GB35" s="404"/>
      <c r="GC35" s="404"/>
      <c r="GD35" s="404"/>
      <c r="GE35" s="404"/>
      <c r="GF35" s="404"/>
      <c r="GG35" s="404"/>
      <c r="GH35" s="404"/>
      <c r="GI35" s="404"/>
      <c r="GJ35" s="404"/>
      <c r="GK35" s="404"/>
      <c r="GL35" s="404"/>
      <c r="GM35" s="404"/>
      <c r="GN35" s="404"/>
      <c r="GO35" s="404"/>
      <c r="GP35" s="404"/>
      <c r="GQ35" s="404"/>
      <c r="GR35" s="404"/>
      <c r="GS35" s="404"/>
      <c r="GT35" s="404"/>
      <c r="GU35" s="404"/>
      <c r="GV35" s="404"/>
      <c r="GW35" s="404"/>
      <c r="GX35" s="404"/>
      <c r="GY35" s="404"/>
      <c r="GZ35" s="404"/>
      <c r="HA35" s="404"/>
      <c r="HB35" s="404"/>
      <c r="HC35" s="404"/>
      <c r="HD35" s="404"/>
      <c r="HE35" s="404"/>
      <c r="HF35" s="404"/>
      <c r="HG35" s="404"/>
      <c r="HH35" s="404"/>
      <c r="HI35" s="404"/>
      <c r="HJ35" s="404"/>
      <c r="HK35" s="404"/>
      <c r="HL35" s="404"/>
      <c r="HM35" s="404"/>
      <c r="HN35" s="404"/>
      <c r="HO35" s="404"/>
      <c r="HP35" s="404"/>
      <c r="HQ35" s="404"/>
    </row>
    <row r="36" spans="1:225" ht="14.4" x14ac:dyDescent="0.3">
      <c r="A36" s="147" t="s">
        <v>209</v>
      </c>
      <c r="B36" s="711"/>
      <c r="C36" s="716"/>
      <c r="D36" s="711"/>
      <c r="E36" s="716"/>
      <c r="F36" s="711"/>
      <c r="G36" s="716"/>
      <c r="H36" s="713" t="str">
        <f t="shared" si="2"/>
        <v>-</v>
      </c>
      <c r="I36" s="404"/>
      <c r="J36" s="404"/>
      <c r="K36" s="404"/>
      <c r="L36" s="404"/>
      <c r="M36" s="404"/>
      <c r="N36" s="404"/>
      <c r="O36" s="404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4"/>
      <c r="AC36" s="404"/>
      <c r="AD36" s="404"/>
      <c r="AE36" s="404"/>
      <c r="AF36" s="404"/>
      <c r="AG36" s="404"/>
      <c r="AH36" s="404"/>
      <c r="AI36" s="404"/>
      <c r="AJ36" s="404"/>
      <c r="AK36" s="404"/>
      <c r="AL36" s="404"/>
      <c r="AM36" s="404"/>
      <c r="AN36" s="404"/>
      <c r="AO36" s="404"/>
      <c r="AP36" s="404"/>
      <c r="AQ36" s="404"/>
      <c r="AR36" s="404"/>
      <c r="AS36" s="404"/>
      <c r="AT36" s="404"/>
      <c r="AU36" s="404"/>
      <c r="AV36" s="404"/>
      <c r="AW36" s="404"/>
      <c r="AX36" s="404"/>
      <c r="AY36" s="404"/>
      <c r="AZ36" s="404"/>
      <c r="BA36" s="404"/>
      <c r="BB36" s="404"/>
      <c r="BC36" s="404"/>
      <c r="BD36" s="404"/>
      <c r="BE36" s="404"/>
      <c r="BF36" s="404"/>
      <c r="BG36" s="404"/>
      <c r="BH36" s="404"/>
      <c r="BI36" s="404"/>
      <c r="BJ36" s="404"/>
      <c r="BK36" s="404"/>
      <c r="BL36" s="404"/>
      <c r="BM36" s="404"/>
      <c r="BN36" s="404"/>
      <c r="BO36" s="404"/>
      <c r="BP36" s="404"/>
      <c r="BQ36" s="404"/>
      <c r="BR36" s="404"/>
      <c r="BS36" s="404"/>
      <c r="BT36" s="404"/>
      <c r="BU36" s="404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 s="404"/>
      <c r="FS36" s="404"/>
      <c r="FT36" s="404"/>
      <c r="FU36" s="404"/>
      <c r="FV36" s="404"/>
      <c r="FW36" s="404"/>
      <c r="FX36" s="404"/>
      <c r="FY36" s="404"/>
      <c r="FZ36" s="404"/>
      <c r="GA36" s="404"/>
      <c r="GB36" s="404"/>
      <c r="GC36" s="404"/>
      <c r="GD36" s="404"/>
      <c r="GE36" s="404"/>
      <c r="GF36" s="404"/>
      <c r="GG36" s="404"/>
      <c r="GH36" s="404"/>
      <c r="GI36" s="404"/>
      <c r="GJ36" s="404"/>
      <c r="GK36" s="404"/>
      <c r="GL36" s="404"/>
      <c r="GM36" s="404"/>
      <c r="GN36" s="404"/>
      <c r="GO36" s="404"/>
      <c r="GP36" s="404"/>
      <c r="GQ36" s="404"/>
      <c r="GR36" s="404"/>
      <c r="GS36" s="404"/>
      <c r="GT36" s="404"/>
      <c r="GU36" s="404"/>
      <c r="GV36" s="404"/>
      <c r="GW36" s="404"/>
      <c r="GX36" s="404"/>
      <c r="GY36" s="404"/>
      <c r="GZ36" s="404"/>
      <c r="HA36" s="404"/>
      <c r="HB36" s="404"/>
      <c r="HC36" s="404"/>
      <c r="HD36" s="404"/>
      <c r="HE36" s="404"/>
      <c r="HF36" s="404"/>
      <c r="HG36" s="404"/>
      <c r="HH36" s="404"/>
      <c r="HI36" s="404"/>
      <c r="HJ36" s="404"/>
      <c r="HK36" s="404"/>
      <c r="HL36" s="404"/>
      <c r="HM36" s="404"/>
      <c r="HN36" s="404"/>
      <c r="HO36" s="404"/>
      <c r="HP36" s="404"/>
      <c r="HQ36" s="404"/>
    </row>
    <row r="37" spans="1:225" ht="14.4" x14ac:dyDescent="0.3">
      <c r="A37" s="147" t="s">
        <v>524</v>
      </c>
      <c r="B37" s="711">
        <v>27.957999999999998</v>
      </c>
      <c r="C37" s="716"/>
      <c r="D37" s="711">
        <v>32.037999999999997</v>
      </c>
      <c r="E37" s="716"/>
      <c r="F37" s="711">
        <v>34.749000000000002</v>
      </c>
      <c r="G37" s="716"/>
      <c r="H37" s="713">
        <f t="shared" si="2"/>
        <v>108.46182658093515</v>
      </c>
      <c r="I37" s="407" t="s">
        <v>340</v>
      </c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4"/>
      <c r="AJ37" s="404"/>
      <c r="AK37" s="404"/>
      <c r="AL37" s="404"/>
      <c r="AM37" s="404"/>
      <c r="AN37" s="404"/>
      <c r="AO37" s="404"/>
      <c r="AP37" s="404"/>
      <c r="AQ37" s="404"/>
      <c r="AR37" s="404"/>
      <c r="AS37" s="404"/>
      <c r="AT37" s="404"/>
      <c r="AU37" s="404"/>
      <c r="AV37" s="404"/>
      <c r="AW37" s="404"/>
      <c r="AX37" s="404"/>
      <c r="AY37" s="404"/>
      <c r="AZ37" s="404"/>
      <c r="BA37" s="404"/>
      <c r="BB37" s="404"/>
      <c r="BC37" s="404"/>
      <c r="BD37" s="404"/>
      <c r="BE37" s="404"/>
      <c r="BF37" s="404"/>
      <c r="BG37" s="404"/>
      <c r="BH37" s="404"/>
      <c r="BI37" s="404"/>
      <c r="BJ37" s="404"/>
      <c r="BK37" s="404"/>
      <c r="BL37" s="404"/>
      <c r="BM37" s="404"/>
      <c r="BN37" s="404"/>
      <c r="BO37" s="404"/>
      <c r="BP37" s="404"/>
      <c r="BQ37" s="404"/>
      <c r="BR37" s="404"/>
      <c r="BS37" s="404"/>
      <c r="BT37" s="404"/>
      <c r="BU37" s="404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 s="404"/>
      <c r="FS37" s="404"/>
      <c r="FT37" s="404"/>
      <c r="FU37" s="404"/>
      <c r="FV37" s="404"/>
      <c r="FW37" s="404"/>
      <c r="FX37" s="404"/>
      <c r="FY37" s="404"/>
      <c r="FZ37" s="404"/>
      <c r="GA37" s="404"/>
      <c r="GB37" s="404"/>
      <c r="GC37" s="404"/>
      <c r="GD37" s="404"/>
      <c r="GE37" s="404"/>
      <c r="GF37" s="404"/>
      <c r="GG37" s="404"/>
      <c r="GH37" s="404"/>
      <c r="GI37" s="404"/>
      <c r="GJ37" s="404"/>
      <c r="GK37" s="404"/>
      <c r="GL37" s="404"/>
      <c r="GM37" s="404"/>
      <c r="GN37" s="404"/>
      <c r="GO37" s="404"/>
      <c r="GP37" s="404"/>
      <c r="GQ37" s="404"/>
      <c r="GR37" s="404"/>
      <c r="GS37" s="404"/>
      <c r="GT37" s="404"/>
      <c r="GU37" s="404"/>
      <c r="GV37" s="404"/>
      <c r="GW37" s="404"/>
      <c r="GX37" s="404"/>
      <c r="GY37" s="404"/>
      <c r="GZ37" s="404"/>
      <c r="HA37" s="404"/>
      <c r="HB37" s="404"/>
      <c r="HC37" s="404"/>
      <c r="HD37" s="404"/>
      <c r="HE37" s="404"/>
      <c r="HF37" s="404"/>
      <c r="HG37" s="404"/>
      <c r="HH37" s="404"/>
      <c r="HI37" s="404"/>
      <c r="HJ37" s="404"/>
      <c r="HK37" s="404"/>
      <c r="HL37" s="404"/>
      <c r="HM37" s="404"/>
      <c r="HN37" s="404"/>
      <c r="HO37" s="404"/>
      <c r="HP37" s="404"/>
      <c r="HQ37" s="404"/>
    </row>
    <row r="38" spans="1:225" ht="14.4" x14ac:dyDescent="0.3">
      <c r="A38" s="147" t="s">
        <v>525</v>
      </c>
      <c r="B38" s="711">
        <v>18.523</v>
      </c>
      <c r="C38" s="716"/>
      <c r="D38" s="711">
        <v>18.303999999999998</v>
      </c>
      <c r="E38" s="716"/>
      <c r="F38" s="711">
        <v>19.202999999999999</v>
      </c>
      <c r="G38" s="716"/>
      <c r="H38" s="713">
        <f t="shared" si="2"/>
        <v>104.91149475524476</v>
      </c>
      <c r="I38" s="404" t="s">
        <v>341</v>
      </c>
      <c r="J38" s="404"/>
      <c r="K38" s="404"/>
      <c r="L38" s="404"/>
      <c r="M38" s="404"/>
      <c r="N38" s="404"/>
      <c r="O38" s="404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4"/>
      <c r="AC38" s="404"/>
      <c r="AD38" s="404"/>
      <c r="AE38" s="404"/>
      <c r="AF38" s="404"/>
      <c r="AG38" s="404"/>
      <c r="AH38" s="404"/>
      <c r="AI38" s="404"/>
      <c r="AJ38" s="404"/>
      <c r="AK38" s="404"/>
      <c r="AL38" s="404"/>
      <c r="AM38" s="404"/>
      <c r="AN38" s="404"/>
      <c r="AO38" s="404"/>
      <c r="AP38" s="404"/>
      <c r="AQ38" s="404"/>
      <c r="AR38" s="404"/>
      <c r="AS38" s="404"/>
      <c r="AT38" s="404"/>
      <c r="AU38" s="404"/>
      <c r="AV38" s="404"/>
      <c r="AW38" s="404"/>
      <c r="AX38" s="404"/>
      <c r="AY38" s="404"/>
      <c r="AZ38" s="404"/>
      <c r="BA38" s="404"/>
      <c r="BB38" s="404"/>
      <c r="BC38" s="404"/>
      <c r="BD38" s="404"/>
      <c r="BE38" s="404"/>
      <c r="BF38" s="404"/>
      <c r="BG38" s="404"/>
      <c r="BH38" s="404"/>
      <c r="BI38" s="404"/>
      <c r="BJ38" s="404"/>
      <c r="BK38" s="404"/>
      <c r="BL38" s="404"/>
      <c r="BM38" s="404"/>
      <c r="BN38" s="404"/>
      <c r="BO38" s="404"/>
      <c r="BP38" s="404"/>
      <c r="BQ38" s="404"/>
      <c r="BR38" s="404"/>
      <c r="BS38" s="404"/>
      <c r="BT38" s="404"/>
      <c r="BU38" s="404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 s="404"/>
      <c r="FS38" s="404"/>
      <c r="FT38" s="404"/>
      <c r="FU38" s="404"/>
      <c r="FV38" s="404"/>
      <c r="FW38" s="404"/>
      <c r="FX38" s="404"/>
      <c r="FY38" s="404"/>
      <c r="FZ38" s="404"/>
      <c r="GA38" s="404"/>
      <c r="GB38" s="404"/>
      <c r="GC38" s="404"/>
      <c r="GD38" s="404"/>
      <c r="GE38" s="404"/>
      <c r="GF38" s="404"/>
      <c r="GG38" s="404"/>
      <c r="GH38" s="404"/>
      <c r="GI38" s="404"/>
      <c r="GJ38" s="404"/>
      <c r="GK38" s="404"/>
      <c r="GL38" s="404"/>
      <c r="GM38" s="404"/>
      <c r="GN38" s="404"/>
      <c r="GO38" s="404"/>
      <c r="GP38" s="404"/>
      <c r="GQ38" s="404"/>
      <c r="GR38" s="404"/>
      <c r="GS38" s="404"/>
      <c r="GT38" s="404"/>
      <c r="GU38" s="404"/>
      <c r="GV38" s="404"/>
      <c r="GW38" s="404"/>
      <c r="GX38" s="404"/>
      <c r="GY38" s="404"/>
      <c r="GZ38" s="404"/>
      <c r="HA38" s="404"/>
      <c r="HB38" s="404"/>
      <c r="HC38" s="404"/>
      <c r="HD38" s="404"/>
      <c r="HE38" s="404"/>
      <c r="HF38" s="404"/>
      <c r="HG38" s="404"/>
      <c r="HH38" s="404"/>
      <c r="HI38" s="404"/>
      <c r="HJ38" s="404"/>
      <c r="HK38" s="404"/>
      <c r="HL38" s="404"/>
      <c r="HM38" s="404"/>
      <c r="HN38" s="404"/>
      <c r="HO38" s="404"/>
      <c r="HP38" s="404"/>
      <c r="HQ38" s="404"/>
    </row>
    <row r="39" spans="1:225" ht="14.4" x14ac:dyDescent="0.3">
      <c r="A39" s="147" t="s">
        <v>526</v>
      </c>
      <c r="B39" s="711">
        <v>14.256</v>
      </c>
      <c r="C39" s="716"/>
      <c r="D39" s="711">
        <v>22.937000000000001</v>
      </c>
      <c r="E39" s="716"/>
      <c r="F39" s="711">
        <v>19.419</v>
      </c>
      <c r="G39" s="716"/>
      <c r="H39" s="713">
        <f t="shared" si="2"/>
        <v>84.662335963726733</v>
      </c>
      <c r="I39" s="404" t="s">
        <v>342</v>
      </c>
      <c r="J39" s="404"/>
      <c r="K39" s="404"/>
      <c r="L39" s="404"/>
      <c r="M39" s="404"/>
      <c r="N39" s="404"/>
      <c r="O39" s="404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4"/>
      <c r="AC39" s="404"/>
      <c r="AD39" s="404"/>
      <c r="AE39" s="404"/>
      <c r="AF39" s="404"/>
      <c r="AG39" s="404"/>
      <c r="AH39" s="404"/>
      <c r="AI39" s="404"/>
      <c r="AJ39" s="404"/>
      <c r="AK39" s="404"/>
      <c r="AL39" s="404"/>
      <c r="AM39" s="404"/>
      <c r="AN39" s="404"/>
      <c r="AO39" s="404"/>
      <c r="AP39" s="404"/>
      <c r="AQ39" s="404"/>
      <c r="AR39" s="404"/>
      <c r="AS39" s="404"/>
      <c r="AT39" s="404"/>
      <c r="AU39" s="404"/>
      <c r="AV39" s="404"/>
      <c r="AW39" s="404"/>
      <c r="AX39" s="404"/>
      <c r="AY39" s="404"/>
      <c r="AZ39" s="404"/>
      <c r="BA39" s="404"/>
      <c r="BB39" s="404"/>
      <c r="BC39" s="404"/>
      <c r="BD39" s="404"/>
      <c r="BE39" s="404"/>
      <c r="BF39" s="404"/>
      <c r="BG39" s="404"/>
      <c r="BH39" s="404"/>
      <c r="BI39" s="404"/>
      <c r="BJ39" s="404"/>
      <c r="BK39" s="404"/>
      <c r="BL39" s="404"/>
      <c r="BM39" s="404"/>
      <c r="BN39" s="404"/>
      <c r="BO39" s="404"/>
      <c r="BP39" s="404"/>
      <c r="BQ39" s="404"/>
      <c r="BR39" s="404"/>
      <c r="BS39" s="404"/>
      <c r="BT39" s="404"/>
      <c r="BU39" s="404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 s="404"/>
      <c r="FS39" s="404"/>
      <c r="FT39" s="404"/>
      <c r="FU39" s="404"/>
      <c r="FV39" s="404"/>
      <c r="FW39" s="404"/>
      <c r="FX39" s="404"/>
      <c r="FY39" s="404"/>
      <c r="FZ39" s="404"/>
      <c r="GA39" s="404"/>
      <c r="GB39" s="404"/>
      <c r="GC39" s="404"/>
      <c r="GD39" s="404"/>
      <c r="GE39" s="404"/>
      <c r="GF39" s="404"/>
      <c r="GG39" s="404"/>
      <c r="GH39" s="404"/>
      <c r="GI39" s="404"/>
      <c r="GJ39" s="404"/>
      <c r="GK39" s="404"/>
      <c r="GL39" s="404"/>
      <c r="GM39" s="404"/>
      <c r="GN39" s="404"/>
      <c r="GO39" s="404"/>
      <c r="GP39" s="404"/>
      <c r="GQ39" s="404"/>
      <c r="GR39" s="404"/>
      <c r="GS39" s="404"/>
      <c r="GT39" s="404"/>
      <c r="GU39" s="404"/>
      <c r="GV39" s="404"/>
      <c r="GW39" s="404"/>
      <c r="GX39" s="404"/>
      <c r="GY39" s="404"/>
      <c r="GZ39" s="404"/>
      <c r="HA39" s="404"/>
      <c r="HB39" s="404"/>
      <c r="HC39" s="404"/>
      <c r="HD39" s="404"/>
      <c r="HE39" s="404"/>
      <c r="HF39" s="404"/>
      <c r="HG39" s="404"/>
      <c r="HH39" s="404"/>
      <c r="HI39" s="404"/>
      <c r="HJ39" s="404"/>
      <c r="HK39" s="404"/>
      <c r="HL39" s="404"/>
      <c r="HM39" s="404"/>
      <c r="HN39" s="404"/>
      <c r="HO39" s="404"/>
      <c r="HP39" s="404"/>
      <c r="HQ39" s="404"/>
    </row>
    <row r="40" spans="1:225" ht="14.4" x14ac:dyDescent="0.3">
      <c r="A40" s="408" t="s">
        <v>527</v>
      </c>
      <c r="B40" s="714">
        <f>SUM(B37:B39)</f>
        <v>60.736999999999995</v>
      </c>
      <c r="C40" s="717"/>
      <c r="D40" s="714">
        <f>SUM(D37:D39)</f>
        <v>73.278999999999996</v>
      </c>
      <c r="E40" s="717"/>
      <c r="F40" s="714">
        <f>SUM(F37:F39)</f>
        <v>73.370999999999995</v>
      </c>
      <c r="G40" s="717"/>
      <c r="H40" s="713">
        <f t="shared" si="2"/>
        <v>100.12554756478663</v>
      </c>
      <c r="I40" s="409" t="s">
        <v>343</v>
      </c>
      <c r="J40" s="404"/>
      <c r="K40" s="404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4"/>
      <c r="AC40" s="404"/>
      <c r="AD40" s="404"/>
      <c r="AE40" s="404"/>
      <c r="AF40" s="404"/>
      <c r="AG40" s="404"/>
      <c r="AH40" s="404"/>
      <c r="AI40" s="404"/>
      <c r="AJ40" s="404"/>
      <c r="AK40" s="404"/>
      <c r="AL40" s="404"/>
      <c r="AM40" s="404"/>
      <c r="AN40" s="404"/>
      <c r="AO40" s="404"/>
      <c r="AP40" s="404"/>
      <c r="AQ40" s="404"/>
      <c r="AR40" s="404"/>
      <c r="AS40" s="404"/>
      <c r="AT40" s="404"/>
      <c r="AU40" s="404"/>
      <c r="AV40" s="404"/>
      <c r="AW40" s="404"/>
      <c r="AX40" s="404"/>
      <c r="AY40" s="404"/>
      <c r="AZ40" s="404"/>
      <c r="BA40" s="404"/>
      <c r="BB40" s="404"/>
      <c r="BC40" s="404"/>
      <c r="BD40" s="404"/>
      <c r="BE40" s="404"/>
      <c r="BF40" s="404"/>
      <c r="BG40" s="404"/>
      <c r="BH40" s="404"/>
      <c r="BI40" s="404"/>
      <c r="BJ40" s="404"/>
      <c r="BK40" s="404"/>
      <c r="BL40" s="404"/>
      <c r="BM40" s="404"/>
      <c r="BN40" s="404"/>
      <c r="BO40" s="404"/>
      <c r="BP40" s="404"/>
      <c r="BQ40" s="404"/>
      <c r="BR40" s="404"/>
      <c r="BS40" s="404"/>
      <c r="BT40" s="404"/>
      <c r="BU40" s="404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 s="404"/>
      <c r="FS40" s="404"/>
      <c r="FT40" s="404"/>
      <c r="FU40" s="404"/>
      <c r="FV40" s="404"/>
      <c r="FW40" s="404"/>
      <c r="FX40" s="404"/>
      <c r="FY40" s="404"/>
      <c r="FZ40" s="404"/>
      <c r="GA40" s="404"/>
      <c r="GB40" s="404"/>
      <c r="GC40" s="404"/>
      <c r="GD40" s="404"/>
      <c r="GE40" s="404"/>
      <c r="GF40" s="404"/>
      <c r="GG40" s="404"/>
      <c r="GH40" s="404"/>
      <c r="GI40" s="404"/>
      <c r="GJ40" s="404"/>
      <c r="GK40" s="404"/>
      <c r="GL40" s="404"/>
      <c r="GM40" s="404"/>
      <c r="GN40" s="404"/>
      <c r="GO40" s="404"/>
      <c r="GP40" s="404"/>
      <c r="GQ40" s="404"/>
      <c r="GR40" s="404"/>
      <c r="GS40" s="404"/>
      <c r="GT40" s="404"/>
      <c r="GU40" s="404"/>
      <c r="GV40" s="404"/>
      <c r="GW40" s="404"/>
      <c r="GX40" s="404"/>
      <c r="GY40" s="404"/>
      <c r="GZ40" s="404"/>
      <c r="HA40" s="404"/>
      <c r="HB40" s="404"/>
      <c r="HC40" s="404"/>
      <c r="HD40" s="404"/>
      <c r="HE40" s="404"/>
      <c r="HF40" s="404"/>
      <c r="HG40" s="404"/>
      <c r="HH40" s="404"/>
      <c r="HI40" s="404"/>
      <c r="HJ40" s="404"/>
      <c r="HK40" s="404"/>
      <c r="HL40" s="404"/>
      <c r="HM40" s="404"/>
      <c r="HN40" s="404"/>
      <c r="HO40" s="404"/>
      <c r="HP40" s="404"/>
      <c r="HQ40" s="404"/>
    </row>
    <row r="41" spans="1:225" ht="14.4" x14ac:dyDescent="0.3">
      <c r="A41" s="408" t="s">
        <v>528</v>
      </c>
      <c r="B41" s="714">
        <f>+B35+B40</f>
        <v>72.771999999999991</v>
      </c>
      <c r="C41" s="717"/>
      <c r="D41" s="714">
        <f>+D35+D40</f>
        <v>92.938999999999993</v>
      </c>
      <c r="E41" s="717"/>
      <c r="F41" s="714">
        <f>+F35+F40</f>
        <v>94.06</v>
      </c>
      <c r="G41" s="717"/>
      <c r="H41" s="713">
        <f t="shared" si="2"/>
        <v>101.20616748620063</v>
      </c>
      <c r="I41" s="409" t="s">
        <v>344</v>
      </c>
      <c r="J41" s="404"/>
      <c r="K41" s="404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04"/>
      <c r="AA41" s="404"/>
      <c r="AB41" s="404"/>
      <c r="AC41" s="404"/>
      <c r="AD41" s="404"/>
      <c r="AE41" s="404"/>
      <c r="AF41" s="404"/>
      <c r="AG41" s="404"/>
      <c r="AH41" s="404"/>
      <c r="AI41" s="404"/>
      <c r="AJ41" s="404"/>
      <c r="AK41" s="404"/>
      <c r="AL41" s="404"/>
      <c r="AM41" s="404"/>
      <c r="AN41" s="404"/>
      <c r="AO41" s="404"/>
      <c r="AP41" s="404"/>
      <c r="AQ41" s="404"/>
      <c r="AR41" s="404"/>
      <c r="AS41" s="404"/>
      <c r="AT41" s="404"/>
      <c r="AU41" s="404"/>
      <c r="AV41" s="404"/>
      <c r="AW41" s="404"/>
      <c r="AX41" s="404"/>
      <c r="AY41" s="404"/>
      <c r="AZ41" s="404"/>
      <c r="BA41" s="404"/>
      <c r="BB41" s="404"/>
      <c r="BC41" s="404"/>
      <c r="BD41" s="404"/>
      <c r="BE41" s="404"/>
      <c r="BF41" s="404"/>
      <c r="BG41" s="404"/>
      <c r="BH41" s="404"/>
      <c r="BI41" s="404"/>
      <c r="BJ41" s="404"/>
      <c r="BK41" s="404"/>
      <c r="BL41" s="404"/>
      <c r="BM41" s="404"/>
      <c r="BN41" s="404"/>
      <c r="BO41" s="404"/>
      <c r="BP41" s="404"/>
      <c r="BQ41" s="404"/>
      <c r="BR41" s="404"/>
      <c r="BS41" s="404"/>
      <c r="BT41" s="404"/>
      <c r="BU41" s="404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 s="404"/>
      <c r="FS41" s="404"/>
      <c r="FT41" s="404"/>
      <c r="FU41" s="404"/>
      <c r="FV41" s="404"/>
      <c r="FW41" s="404"/>
      <c r="FX41" s="404"/>
      <c r="FY41" s="404"/>
      <c r="FZ41" s="404"/>
      <c r="GA41" s="404"/>
      <c r="GB41" s="404"/>
      <c r="GC41" s="404"/>
      <c r="GD41" s="404"/>
      <c r="GE41" s="404"/>
      <c r="GF41" s="404"/>
      <c r="GG41" s="404"/>
      <c r="GH41" s="404"/>
      <c r="GI41" s="404"/>
      <c r="GJ41" s="404"/>
      <c r="GK41" s="404"/>
      <c r="GL41" s="404"/>
      <c r="GM41" s="404"/>
      <c r="GN41" s="404"/>
      <c r="GO41" s="404"/>
      <c r="GP41" s="404"/>
      <c r="GQ41" s="404"/>
      <c r="GR41" s="404"/>
      <c r="GS41" s="404"/>
      <c r="GT41" s="404"/>
      <c r="GU41" s="404"/>
      <c r="GV41" s="404"/>
      <c r="GW41" s="404"/>
      <c r="GX41" s="404"/>
      <c r="GY41" s="404"/>
      <c r="GZ41" s="404"/>
      <c r="HA41" s="404"/>
      <c r="HB41" s="404"/>
      <c r="HC41" s="404"/>
      <c r="HD41" s="404"/>
      <c r="HE41" s="404"/>
      <c r="HF41" s="404"/>
      <c r="HG41" s="404"/>
      <c r="HH41" s="404"/>
      <c r="HI41" s="404"/>
      <c r="HJ41" s="404"/>
      <c r="HK41" s="404"/>
      <c r="HL41" s="404"/>
      <c r="HM41" s="404"/>
      <c r="HN41" s="404"/>
      <c r="HO41" s="404"/>
      <c r="HP41" s="404"/>
      <c r="HQ41" s="404"/>
    </row>
    <row r="42" spans="1:225" ht="14.4" x14ac:dyDescent="0.3">
      <c r="A42" s="408" t="s">
        <v>529</v>
      </c>
      <c r="B42" s="714">
        <v>60.231999999999999</v>
      </c>
      <c r="C42" s="717"/>
      <c r="D42" s="714">
        <v>60.570999999999998</v>
      </c>
      <c r="E42" s="717"/>
      <c r="F42" s="714">
        <v>64.516000000000005</v>
      </c>
      <c r="G42" s="717"/>
      <c r="H42" s="713">
        <f t="shared" si="2"/>
        <v>106.5130177807862</v>
      </c>
      <c r="I42" s="404" t="s">
        <v>345</v>
      </c>
      <c r="J42" s="404"/>
      <c r="K42" s="404"/>
      <c r="L42" s="404"/>
      <c r="M42" s="404"/>
      <c r="N42" s="404"/>
      <c r="O42" s="404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404"/>
      <c r="AI42" s="404"/>
      <c r="AJ42" s="404"/>
      <c r="AK42" s="404"/>
      <c r="AL42" s="404"/>
      <c r="AM42" s="404"/>
      <c r="AN42" s="404"/>
      <c r="AO42" s="404"/>
      <c r="AP42" s="404"/>
      <c r="AQ42" s="404"/>
      <c r="AR42" s="404"/>
      <c r="AS42" s="404"/>
      <c r="AT42" s="404"/>
      <c r="AU42" s="404"/>
      <c r="AV42" s="404"/>
      <c r="AW42" s="404"/>
      <c r="AX42" s="404"/>
      <c r="AY42" s="404"/>
      <c r="AZ42" s="404"/>
      <c r="BA42" s="404"/>
      <c r="BB42" s="404"/>
      <c r="BC42" s="404"/>
      <c r="BD42" s="404"/>
      <c r="BE42" s="404"/>
      <c r="BF42" s="404"/>
      <c r="BG42" s="404"/>
      <c r="BH42" s="404"/>
      <c r="BI42" s="404"/>
      <c r="BJ42" s="404"/>
      <c r="BK42" s="404"/>
      <c r="BL42" s="404"/>
      <c r="BM42" s="404"/>
      <c r="BN42" s="404"/>
      <c r="BO42" s="404"/>
      <c r="BP42" s="404"/>
      <c r="BQ42" s="404"/>
      <c r="BR42" s="404"/>
      <c r="BS42" s="404"/>
      <c r="BT42" s="404"/>
      <c r="BU42" s="404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 s="404"/>
      <c r="FS42" s="404"/>
      <c r="FT42" s="404"/>
      <c r="FU42" s="404"/>
      <c r="FV42" s="404"/>
      <c r="FW42" s="404"/>
      <c r="FX42" s="404"/>
      <c r="FY42" s="404"/>
      <c r="FZ42" s="404"/>
      <c r="GA42" s="404"/>
      <c r="GB42" s="404"/>
      <c r="GC42" s="404"/>
      <c r="GD42" s="404"/>
      <c r="GE42" s="404"/>
      <c r="GF42" s="404"/>
      <c r="GG42" s="404"/>
      <c r="GH42" s="404"/>
      <c r="GI42" s="404"/>
      <c r="GJ42" s="404"/>
      <c r="GK42" s="404"/>
      <c r="GL42" s="404"/>
      <c r="GM42" s="404"/>
      <c r="GN42" s="404"/>
      <c r="GO42" s="404"/>
      <c r="GP42" s="404"/>
      <c r="GQ42" s="404"/>
      <c r="GR42" s="404"/>
      <c r="GS42" s="404"/>
      <c r="GT42" s="404"/>
      <c r="GU42" s="404"/>
      <c r="GV42" s="404"/>
      <c r="GW42" s="404"/>
      <c r="GX42" s="404"/>
      <c r="GY42" s="404"/>
      <c r="GZ42" s="404"/>
      <c r="HA42" s="404"/>
      <c r="HB42" s="404"/>
      <c r="HC42" s="404"/>
      <c r="HD42" s="404"/>
      <c r="HE42" s="404"/>
      <c r="HF42" s="404"/>
      <c r="HG42" s="404"/>
      <c r="HH42" s="404"/>
      <c r="HI42" s="404"/>
      <c r="HJ42" s="404"/>
      <c r="HK42" s="404"/>
      <c r="HL42" s="404"/>
      <c r="HM42" s="404"/>
      <c r="HN42" s="404"/>
      <c r="HO42" s="404"/>
      <c r="HP42" s="404"/>
      <c r="HQ42" s="404"/>
    </row>
    <row r="43" spans="1:225" ht="14.4" x14ac:dyDescent="0.3">
      <c r="A43" s="147" t="s">
        <v>530</v>
      </c>
      <c r="B43" s="711">
        <v>0</v>
      </c>
      <c r="C43" s="716"/>
      <c r="D43" s="711">
        <v>0</v>
      </c>
      <c r="E43" s="716"/>
      <c r="F43" s="711">
        <v>0</v>
      </c>
      <c r="G43" s="716"/>
      <c r="H43" s="713" t="str">
        <f t="shared" si="2"/>
        <v>-</v>
      </c>
      <c r="I43" s="404" t="s">
        <v>346</v>
      </c>
      <c r="J43" s="404"/>
      <c r="K43" s="404"/>
      <c r="L43" s="404"/>
      <c r="M43" s="404"/>
      <c r="N43" s="404"/>
      <c r="O43" s="404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4"/>
      <c r="AC43" s="404"/>
      <c r="AD43" s="404"/>
      <c r="AE43" s="404"/>
      <c r="AF43" s="404"/>
      <c r="AG43" s="404"/>
      <c r="AH43" s="404"/>
      <c r="AI43" s="404"/>
      <c r="AJ43" s="404"/>
      <c r="AK43" s="404"/>
      <c r="AL43" s="404"/>
      <c r="AM43" s="404"/>
      <c r="AN43" s="404"/>
      <c r="AO43" s="404"/>
      <c r="AP43" s="404"/>
      <c r="AQ43" s="404"/>
      <c r="AR43" s="404"/>
      <c r="AS43" s="404"/>
      <c r="AT43" s="404"/>
      <c r="AU43" s="404"/>
      <c r="AV43" s="404"/>
      <c r="AW43" s="404"/>
      <c r="AX43" s="404"/>
      <c r="AY43" s="404"/>
      <c r="AZ43" s="404"/>
      <c r="BA43" s="404"/>
      <c r="BB43" s="404"/>
      <c r="BC43" s="404"/>
      <c r="BD43" s="404"/>
      <c r="BE43" s="404"/>
      <c r="BF43" s="404"/>
      <c r="BG43" s="404"/>
      <c r="BH43" s="404"/>
      <c r="BI43" s="404"/>
      <c r="BJ43" s="404"/>
      <c r="BK43" s="404"/>
      <c r="BL43" s="404"/>
      <c r="BM43" s="404"/>
      <c r="BN43" s="404"/>
      <c r="BO43" s="404"/>
      <c r="BP43" s="404"/>
      <c r="BQ43" s="404"/>
      <c r="BR43" s="404"/>
      <c r="BS43" s="404"/>
      <c r="BT43" s="404"/>
      <c r="BU43" s="404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 s="404"/>
      <c r="FS43" s="404"/>
      <c r="FT43" s="404"/>
      <c r="FU43" s="404"/>
      <c r="FV43" s="404"/>
      <c r="FW43" s="404"/>
      <c r="FX43" s="404"/>
      <c r="FY43" s="404"/>
      <c r="FZ43" s="404"/>
      <c r="GA43" s="404"/>
      <c r="GB43" s="404"/>
      <c r="GC43" s="404"/>
      <c r="GD43" s="404"/>
      <c r="GE43" s="404"/>
      <c r="GF43" s="404"/>
      <c r="GG43" s="404"/>
      <c r="GH43" s="404"/>
      <c r="GI43" s="404"/>
      <c r="GJ43" s="404"/>
      <c r="GK43" s="404"/>
      <c r="GL43" s="404"/>
      <c r="GM43" s="404"/>
      <c r="GN43" s="404"/>
      <c r="GO43" s="404"/>
      <c r="GP43" s="404"/>
      <c r="GQ43" s="404"/>
      <c r="GR43" s="404"/>
      <c r="GS43" s="404"/>
      <c r="GT43" s="404"/>
      <c r="GU43" s="404"/>
      <c r="GV43" s="404"/>
      <c r="GW43" s="404"/>
      <c r="GX43" s="404"/>
      <c r="GY43" s="404"/>
      <c r="GZ43" s="404"/>
      <c r="HA43" s="404"/>
      <c r="HB43" s="404"/>
      <c r="HC43" s="404"/>
      <c r="HD43" s="404"/>
      <c r="HE43" s="404"/>
      <c r="HF43" s="404"/>
      <c r="HG43" s="404"/>
      <c r="HH43" s="404"/>
      <c r="HI43" s="404"/>
      <c r="HJ43" s="404"/>
      <c r="HK43" s="404"/>
      <c r="HL43" s="404"/>
      <c r="HM43" s="404"/>
      <c r="HN43" s="404"/>
      <c r="HO43" s="404"/>
      <c r="HP43" s="404"/>
      <c r="HQ43" s="404"/>
    </row>
    <row r="44" spans="1:225" ht="14.4" x14ac:dyDescent="0.3">
      <c r="A44" s="147" t="s">
        <v>210</v>
      </c>
      <c r="B44" s="711">
        <v>4.7220000000000004</v>
      </c>
      <c r="C44" s="716"/>
      <c r="D44" s="711">
        <v>5.133</v>
      </c>
      <c r="E44" s="716"/>
      <c r="F44" s="711">
        <v>5.6639999999999997</v>
      </c>
      <c r="G44" s="716"/>
      <c r="H44" s="713">
        <f t="shared" si="2"/>
        <v>110.34482758620689</v>
      </c>
      <c r="I44" s="404" t="s">
        <v>347</v>
      </c>
      <c r="J44" s="404"/>
      <c r="K44" s="404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4"/>
      <c r="AJ44" s="404"/>
      <c r="AK44" s="404"/>
      <c r="AL44" s="404"/>
      <c r="AM44" s="404"/>
      <c r="AN44" s="404"/>
      <c r="AO44" s="404"/>
      <c r="AP44" s="404"/>
      <c r="AQ44" s="404"/>
      <c r="AR44" s="404"/>
      <c r="AS44" s="404"/>
      <c r="AT44" s="404"/>
      <c r="AU44" s="404"/>
      <c r="AV44" s="404"/>
      <c r="AW44" s="404"/>
      <c r="AX44" s="404"/>
      <c r="AY44" s="404"/>
      <c r="AZ44" s="404"/>
      <c r="BA44" s="404"/>
      <c r="BB44" s="404"/>
      <c r="BC44" s="404"/>
      <c r="BD44" s="404"/>
      <c r="BE44" s="404"/>
      <c r="BF44" s="404"/>
      <c r="BG44" s="404"/>
      <c r="BH44" s="404"/>
      <c r="BI44" s="404"/>
      <c r="BJ44" s="404"/>
      <c r="BK44" s="404"/>
      <c r="BL44" s="404"/>
      <c r="BM44" s="404"/>
      <c r="BN44" s="404"/>
      <c r="BO44" s="404"/>
      <c r="BP44" s="404"/>
      <c r="BQ44" s="404"/>
      <c r="BR44" s="404"/>
      <c r="BS44" s="404"/>
      <c r="BT44" s="404"/>
      <c r="BU44" s="40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 s="404"/>
      <c r="FS44" s="404"/>
      <c r="FT44" s="404"/>
      <c r="FU44" s="404"/>
      <c r="FV44" s="404"/>
      <c r="FW44" s="404"/>
      <c r="FX44" s="404"/>
      <c r="FY44" s="404"/>
      <c r="FZ44" s="404"/>
      <c r="GA44" s="404"/>
      <c r="GB44" s="404"/>
      <c r="GC44" s="404"/>
      <c r="GD44" s="404"/>
      <c r="GE44" s="404"/>
      <c r="GF44" s="404"/>
      <c r="GG44" s="404"/>
      <c r="GH44" s="404"/>
      <c r="GI44" s="404"/>
      <c r="GJ44" s="404"/>
      <c r="GK44" s="404"/>
      <c r="GL44" s="404"/>
      <c r="GM44" s="404"/>
      <c r="GN44" s="404"/>
      <c r="GO44" s="404"/>
      <c r="GP44" s="404"/>
      <c r="GQ44" s="404"/>
      <c r="GR44" s="404"/>
      <c r="GS44" s="404"/>
      <c r="GT44" s="404"/>
      <c r="GU44" s="404"/>
      <c r="GV44" s="404"/>
      <c r="GW44" s="404"/>
      <c r="GX44" s="404"/>
      <c r="GY44" s="404"/>
      <c r="GZ44" s="404"/>
      <c r="HA44" s="404"/>
      <c r="HB44" s="404"/>
      <c r="HC44" s="404"/>
      <c r="HD44" s="404"/>
      <c r="HE44" s="404"/>
      <c r="HF44" s="404"/>
      <c r="HG44" s="404"/>
      <c r="HH44" s="404"/>
      <c r="HI44" s="404"/>
      <c r="HJ44" s="404"/>
      <c r="HK44" s="404"/>
      <c r="HL44" s="404"/>
      <c r="HM44" s="404"/>
      <c r="HN44" s="404"/>
      <c r="HO44" s="404"/>
      <c r="HP44" s="404"/>
      <c r="HQ44" s="404"/>
    </row>
    <row r="45" spans="1:225" ht="14.4" x14ac:dyDescent="0.3">
      <c r="A45" s="147" t="s">
        <v>531</v>
      </c>
      <c r="B45" s="711">
        <v>0.189</v>
      </c>
      <c r="C45" s="716"/>
      <c r="D45" s="711">
        <v>0.20899999999999999</v>
      </c>
      <c r="E45" s="716"/>
      <c r="F45" s="711">
        <v>0.25800000000000001</v>
      </c>
      <c r="G45" s="716"/>
      <c r="H45" s="713">
        <f t="shared" si="2"/>
        <v>123.44497607655504</v>
      </c>
      <c r="I45" s="404" t="s">
        <v>348</v>
      </c>
      <c r="J45" s="404"/>
      <c r="K45" s="404"/>
      <c r="L45" s="404"/>
      <c r="M45" s="404"/>
      <c r="N45" s="404"/>
      <c r="O45" s="404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4"/>
      <c r="AC45" s="404"/>
      <c r="AD45" s="404"/>
      <c r="AE45" s="404"/>
      <c r="AF45" s="404"/>
      <c r="AG45" s="404"/>
      <c r="AH45" s="404"/>
      <c r="AI45" s="404"/>
      <c r="AJ45" s="404"/>
      <c r="AK45" s="404"/>
      <c r="AL45" s="404"/>
      <c r="AM45" s="404"/>
      <c r="AN45" s="404"/>
      <c r="AO45" s="404"/>
      <c r="AP45" s="404"/>
      <c r="AQ45" s="404"/>
      <c r="AR45" s="404"/>
      <c r="AS45" s="404"/>
      <c r="AT45" s="404"/>
      <c r="AU45" s="404"/>
      <c r="AV45" s="404"/>
      <c r="AW45" s="404"/>
      <c r="AX45" s="404"/>
      <c r="AY45" s="404"/>
      <c r="AZ45" s="404"/>
      <c r="BA45" s="404"/>
      <c r="BB45" s="404"/>
      <c r="BC45" s="404"/>
      <c r="BD45" s="404"/>
      <c r="BE45" s="404"/>
      <c r="BF45" s="404"/>
      <c r="BG45" s="404"/>
      <c r="BH45" s="404"/>
      <c r="BI45" s="404"/>
      <c r="BJ45" s="404"/>
      <c r="BK45" s="404"/>
      <c r="BL45" s="404"/>
      <c r="BM45" s="404"/>
      <c r="BN45" s="404"/>
      <c r="BO45" s="404"/>
      <c r="BP45" s="404"/>
      <c r="BQ45" s="404"/>
      <c r="BR45" s="404"/>
      <c r="BS45" s="404"/>
      <c r="BT45" s="404"/>
      <c r="BU45" s="404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 s="404"/>
      <c r="FS45" s="404"/>
      <c r="FT45" s="404"/>
      <c r="FU45" s="404"/>
      <c r="FV45" s="404"/>
      <c r="FW45" s="404"/>
      <c r="FX45" s="404"/>
      <c r="FY45" s="404"/>
      <c r="FZ45" s="404"/>
      <c r="GA45" s="404"/>
      <c r="GB45" s="404"/>
      <c r="GC45" s="404"/>
      <c r="GD45" s="404"/>
      <c r="GE45" s="404"/>
      <c r="GF45" s="404"/>
      <c r="GG45" s="404"/>
      <c r="GH45" s="404"/>
      <c r="GI45" s="404"/>
      <c r="GJ45" s="404"/>
      <c r="GK45" s="404"/>
      <c r="GL45" s="404"/>
      <c r="GM45" s="404"/>
      <c r="GN45" s="404"/>
      <c r="GO45" s="404"/>
      <c r="GP45" s="404"/>
      <c r="GQ45" s="404"/>
      <c r="GR45" s="404"/>
      <c r="GS45" s="404"/>
      <c r="GT45" s="404"/>
      <c r="GU45" s="404"/>
      <c r="GV45" s="404"/>
      <c r="GW45" s="404"/>
      <c r="GX45" s="404"/>
      <c r="GY45" s="404"/>
      <c r="GZ45" s="404"/>
      <c r="HA45" s="404"/>
      <c r="HB45" s="404"/>
      <c r="HC45" s="404"/>
      <c r="HD45" s="404"/>
      <c r="HE45" s="404"/>
      <c r="HF45" s="404"/>
      <c r="HG45" s="404"/>
      <c r="HH45" s="404"/>
      <c r="HI45" s="404"/>
      <c r="HJ45" s="404"/>
      <c r="HK45" s="404"/>
      <c r="HL45" s="404"/>
      <c r="HM45" s="404"/>
      <c r="HN45" s="404"/>
      <c r="HO45" s="404"/>
      <c r="HP45" s="404"/>
      <c r="HQ45" s="404"/>
    </row>
    <row r="46" spans="1:225" ht="14.4" x14ac:dyDescent="0.3">
      <c r="A46" s="147" t="s">
        <v>532</v>
      </c>
      <c r="B46" s="711">
        <v>0.16700000000000001</v>
      </c>
      <c r="C46" s="716"/>
      <c r="D46" s="711">
        <v>0.184</v>
      </c>
      <c r="E46" s="716"/>
      <c r="F46" s="711">
        <v>0.108</v>
      </c>
      <c r="G46" s="716"/>
      <c r="H46" s="713">
        <f t="shared" si="2"/>
        <v>58.695652173913047</v>
      </c>
      <c r="I46" s="404" t="s">
        <v>349</v>
      </c>
      <c r="J46" s="404"/>
      <c r="K46" s="404"/>
      <c r="L46" s="404"/>
      <c r="M46" s="404"/>
      <c r="N46" s="404"/>
      <c r="O46" s="404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4"/>
      <c r="AJ46" s="404"/>
      <c r="AK46" s="404"/>
      <c r="AL46" s="404"/>
      <c r="AM46" s="404"/>
      <c r="AN46" s="404"/>
      <c r="AO46" s="404"/>
      <c r="AP46" s="404"/>
      <c r="AQ46" s="404"/>
      <c r="AR46" s="404"/>
      <c r="AS46" s="404"/>
      <c r="AT46" s="404"/>
      <c r="AU46" s="404"/>
      <c r="AV46" s="404"/>
      <c r="AW46" s="404"/>
      <c r="AX46" s="404"/>
      <c r="AY46" s="404"/>
      <c r="AZ46" s="404"/>
      <c r="BA46" s="404"/>
      <c r="BB46" s="404"/>
      <c r="BC46" s="404"/>
      <c r="BD46" s="404"/>
      <c r="BE46" s="404"/>
      <c r="BF46" s="404"/>
      <c r="BG46" s="404"/>
      <c r="BH46" s="404"/>
      <c r="BI46" s="404"/>
      <c r="BJ46" s="404"/>
      <c r="BK46" s="404"/>
      <c r="BL46" s="404"/>
      <c r="BM46" s="404"/>
      <c r="BN46" s="404"/>
      <c r="BO46" s="404"/>
      <c r="BP46" s="404"/>
      <c r="BQ46" s="404"/>
      <c r="BR46" s="404"/>
      <c r="BS46" s="404"/>
      <c r="BT46" s="404"/>
      <c r="BU46" s="404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 s="404"/>
      <c r="FS46" s="404"/>
      <c r="FT46" s="404"/>
      <c r="FU46" s="404"/>
      <c r="FV46" s="404"/>
      <c r="FW46" s="404"/>
      <c r="FX46" s="404"/>
      <c r="FY46" s="404"/>
      <c r="FZ46" s="404"/>
      <c r="GA46" s="404"/>
      <c r="GB46" s="404"/>
      <c r="GC46" s="404"/>
      <c r="GD46" s="404"/>
      <c r="GE46" s="404"/>
      <c r="GF46" s="404"/>
      <c r="GG46" s="404"/>
      <c r="GH46" s="404"/>
      <c r="GI46" s="404"/>
      <c r="GJ46" s="404"/>
      <c r="GK46" s="404"/>
      <c r="GL46" s="404"/>
      <c r="GM46" s="404"/>
      <c r="GN46" s="404"/>
      <c r="GO46" s="404"/>
      <c r="GP46" s="404"/>
      <c r="GQ46" s="404"/>
      <c r="GR46" s="404"/>
      <c r="GS46" s="404"/>
      <c r="GT46" s="404"/>
      <c r="GU46" s="404"/>
      <c r="GV46" s="404"/>
      <c r="GW46" s="404"/>
      <c r="GX46" s="404"/>
      <c r="GY46" s="404"/>
      <c r="GZ46" s="404"/>
      <c r="HA46" s="404"/>
      <c r="HB46" s="404"/>
      <c r="HC46" s="404"/>
      <c r="HD46" s="404"/>
      <c r="HE46" s="404"/>
      <c r="HF46" s="404"/>
      <c r="HG46" s="404"/>
      <c r="HH46" s="404"/>
      <c r="HI46" s="404"/>
      <c r="HJ46" s="404"/>
      <c r="HK46" s="404"/>
      <c r="HL46" s="404"/>
      <c r="HM46" s="404"/>
      <c r="HN46" s="404"/>
      <c r="HO46" s="404"/>
      <c r="HP46" s="404"/>
      <c r="HQ46" s="404"/>
    </row>
    <row r="47" spans="1:225" s="125" customFormat="1" ht="14.4" x14ac:dyDescent="0.3">
      <c r="A47" s="408" t="s">
        <v>533</v>
      </c>
      <c r="B47" s="714">
        <v>55.531999999999996</v>
      </c>
      <c r="C47" s="717"/>
      <c r="D47" s="714">
        <v>55.463000000000001</v>
      </c>
      <c r="E47" s="717"/>
      <c r="F47" s="714">
        <v>59.002000000000002</v>
      </c>
      <c r="G47" s="717"/>
      <c r="H47" s="713">
        <f t="shared" si="2"/>
        <v>106.38083046355227</v>
      </c>
      <c r="I47" s="410" t="s">
        <v>350</v>
      </c>
      <c r="J47" s="410"/>
      <c r="K47" s="410"/>
      <c r="L47" s="410"/>
      <c r="M47" s="410"/>
      <c r="N47" s="410"/>
      <c r="O47" s="410"/>
      <c r="P47" s="410"/>
      <c r="Q47" s="410"/>
      <c r="R47" s="410"/>
      <c r="S47" s="410"/>
      <c r="T47" s="410"/>
      <c r="U47" s="410"/>
      <c r="V47" s="410"/>
      <c r="W47" s="410"/>
      <c r="X47" s="410"/>
      <c r="Y47" s="410"/>
      <c r="Z47" s="410"/>
      <c r="AA47" s="410"/>
      <c r="AB47" s="410"/>
      <c r="AC47" s="410"/>
      <c r="AD47" s="410"/>
      <c r="AE47" s="410"/>
      <c r="AF47" s="410"/>
      <c r="AG47" s="410"/>
      <c r="AH47" s="410"/>
      <c r="AI47" s="410"/>
      <c r="AJ47" s="410"/>
      <c r="AK47" s="410"/>
      <c r="AL47" s="410"/>
      <c r="AM47" s="410"/>
      <c r="AN47" s="410"/>
      <c r="AO47" s="410"/>
      <c r="AP47" s="410"/>
      <c r="AQ47" s="410"/>
      <c r="AR47" s="410"/>
      <c r="AS47" s="410"/>
      <c r="AT47" s="410"/>
      <c r="AU47" s="410"/>
      <c r="AV47" s="410"/>
      <c r="AW47" s="410"/>
      <c r="AX47" s="410"/>
      <c r="AY47" s="410"/>
      <c r="AZ47" s="410"/>
      <c r="BA47" s="410"/>
      <c r="BB47" s="410"/>
      <c r="BC47" s="410"/>
      <c r="BD47" s="410"/>
      <c r="BE47" s="410"/>
      <c r="BF47" s="410"/>
      <c r="BG47" s="410"/>
      <c r="BH47" s="410"/>
      <c r="BI47" s="410"/>
      <c r="BJ47" s="410"/>
      <c r="BK47" s="410"/>
      <c r="BL47" s="410"/>
      <c r="BM47" s="410"/>
      <c r="BN47" s="410"/>
      <c r="BO47" s="410"/>
      <c r="BP47" s="410"/>
      <c r="BQ47" s="410"/>
      <c r="BR47" s="410"/>
      <c r="BS47" s="410"/>
      <c r="BT47" s="410"/>
      <c r="BU47" s="410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 s="410"/>
      <c r="FS47" s="410"/>
      <c r="FT47" s="410"/>
      <c r="FU47" s="410"/>
      <c r="FV47" s="410"/>
      <c r="FW47" s="410"/>
      <c r="FX47" s="410"/>
      <c r="FY47" s="410"/>
      <c r="FZ47" s="410"/>
      <c r="GA47" s="410"/>
      <c r="GB47" s="410"/>
      <c r="GC47" s="410"/>
      <c r="GD47" s="410"/>
      <c r="GE47" s="410"/>
      <c r="GF47" s="410"/>
      <c r="GG47" s="410"/>
      <c r="GH47" s="410"/>
      <c r="GI47" s="410"/>
      <c r="GJ47" s="410"/>
      <c r="GK47" s="410"/>
      <c r="GL47" s="410"/>
      <c r="GM47" s="410"/>
      <c r="GN47" s="410"/>
      <c r="GO47" s="410"/>
      <c r="GP47" s="410"/>
      <c r="GQ47" s="410"/>
      <c r="GR47" s="410"/>
      <c r="GS47" s="410"/>
      <c r="GT47" s="410"/>
      <c r="GU47" s="410"/>
      <c r="GV47" s="410"/>
      <c r="GW47" s="410"/>
      <c r="GX47" s="410"/>
      <c r="GY47" s="410"/>
      <c r="GZ47" s="410"/>
      <c r="HA47" s="410"/>
      <c r="HB47" s="410"/>
      <c r="HC47" s="410"/>
      <c r="HD47" s="410"/>
      <c r="HE47" s="410"/>
      <c r="HF47" s="410"/>
      <c r="HG47" s="410"/>
      <c r="HH47" s="410"/>
      <c r="HI47" s="410"/>
      <c r="HJ47" s="410"/>
      <c r="HK47" s="410"/>
      <c r="HL47" s="410"/>
      <c r="HM47" s="410"/>
      <c r="HN47" s="410"/>
      <c r="HO47" s="410"/>
      <c r="HP47" s="410"/>
      <c r="HQ47" s="410"/>
    </row>
    <row r="48" spans="1:225" ht="15" thickBot="1" x14ac:dyDescent="0.35">
      <c r="A48" s="413" t="s">
        <v>534</v>
      </c>
      <c r="B48" s="718">
        <v>0</v>
      </c>
      <c r="C48" s="719"/>
      <c r="D48" s="718">
        <v>0</v>
      </c>
      <c r="E48" s="719"/>
      <c r="F48" s="718">
        <v>0</v>
      </c>
      <c r="G48" s="719"/>
      <c r="H48" s="720" t="str">
        <f t="shared" si="2"/>
        <v>-</v>
      </c>
      <c r="I48" s="404" t="s">
        <v>351</v>
      </c>
      <c r="J48" s="404"/>
      <c r="K48" s="404"/>
      <c r="L48" s="404"/>
      <c r="M48" s="404"/>
      <c r="N48" s="404"/>
      <c r="O48" s="404"/>
      <c r="P48" s="404"/>
      <c r="Q48" s="404"/>
      <c r="R48" s="404"/>
      <c r="S48" s="404"/>
      <c r="T48" s="404"/>
      <c r="U48" s="404"/>
      <c r="V48" s="404"/>
      <c r="W48" s="404"/>
      <c r="X48" s="404"/>
      <c r="Y48" s="404"/>
      <c r="Z48" s="404"/>
      <c r="AA48" s="404"/>
      <c r="AB48" s="404"/>
      <c r="AC48" s="404"/>
      <c r="AD48" s="404"/>
      <c r="AE48" s="404"/>
      <c r="AF48" s="404"/>
      <c r="AG48" s="404"/>
      <c r="AH48" s="404"/>
      <c r="AI48" s="404"/>
      <c r="AJ48" s="404"/>
      <c r="AK48" s="404"/>
      <c r="AL48" s="404"/>
      <c r="AM48" s="404"/>
      <c r="AN48" s="404"/>
      <c r="AO48" s="404"/>
      <c r="AP48" s="404"/>
      <c r="AQ48" s="404"/>
      <c r="AR48" s="404"/>
      <c r="AS48" s="404"/>
      <c r="AT48" s="404"/>
      <c r="AU48" s="404"/>
      <c r="AV48" s="404"/>
      <c r="AW48" s="404"/>
      <c r="AX48" s="404"/>
      <c r="AY48" s="404"/>
      <c r="AZ48" s="404"/>
      <c r="BA48" s="404"/>
      <c r="BB48" s="404"/>
      <c r="BC48" s="404"/>
      <c r="BD48" s="404"/>
      <c r="BE48" s="404"/>
      <c r="BF48" s="404"/>
      <c r="BG48" s="404"/>
      <c r="BH48" s="404"/>
      <c r="BI48" s="404"/>
      <c r="BJ48" s="404"/>
      <c r="BK48" s="404"/>
      <c r="BL48" s="404"/>
      <c r="BM48" s="404"/>
      <c r="BN48" s="404"/>
      <c r="BO48" s="404"/>
      <c r="BP48" s="404"/>
      <c r="BQ48" s="404"/>
      <c r="BR48" s="404"/>
      <c r="BS48" s="404"/>
      <c r="BT48" s="404"/>
      <c r="BU48" s="404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 s="404"/>
      <c r="FS48" s="404"/>
      <c r="FT48" s="404"/>
      <c r="FU48" s="404"/>
      <c r="FV48" s="404"/>
      <c r="FW48" s="404"/>
      <c r="FX48" s="404"/>
      <c r="FY48" s="404"/>
      <c r="FZ48" s="404"/>
      <c r="GA48" s="404"/>
      <c r="GB48" s="404"/>
      <c r="GC48" s="404"/>
      <c r="GD48" s="404"/>
      <c r="GE48" s="404"/>
      <c r="GF48" s="404"/>
      <c r="GG48" s="404"/>
      <c r="GH48" s="404"/>
      <c r="GI48" s="404"/>
      <c r="GJ48" s="404"/>
      <c r="GK48" s="404"/>
      <c r="GL48" s="404"/>
      <c r="GM48" s="404"/>
      <c r="GN48" s="404"/>
      <c r="GO48" s="404"/>
      <c r="GP48" s="404"/>
      <c r="GQ48" s="404"/>
      <c r="GR48" s="404"/>
      <c r="GS48" s="404"/>
      <c r="GT48" s="404"/>
      <c r="GU48" s="404"/>
      <c r="GV48" s="404"/>
      <c r="GW48" s="404"/>
      <c r="GX48" s="404"/>
      <c r="GY48" s="404"/>
      <c r="GZ48" s="404"/>
      <c r="HA48" s="404"/>
      <c r="HB48" s="404"/>
      <c r="HC48" s="404"/>
      <c r="HD48" s="404"/>
      <c r="HE48" s="404"/>
      <c r="HF48" s="404"/>
      <c r="HG48" s="404"/>
      <c r="HH48" s="404"/>
      <c r="HI48" s="404"/>
      <c r="HJ48" s="404"/>
      <c r="HK48" s="404"/>
      <c r="HL48" s="404"/>
      <c r="HM48" s="404"/>
      <c r="HN48" s="404"/>
      <c r="HO48" s="404"/>
      <c r="HP48" s="404"/>
      <c r="HQ48" s="404"/>
    </row>
  </sheetData>
  <customSheetViews>
    <customSheetView guid="{5507C501-9942-4310-9E0E-987180BD1180}">
      <selection activeCell="L31" sqref="L31"/>
      <pageMargins left="0.7" right="0.7" top="0.75" bottom="0.75" header="0.3" footer="0.3"/>
    </customSheetView>
    <customSheetView guid="{54A0E5BB-5A66-4415-88CA-030F3BDE4337}">
      <selection activeCell="A4" sqref="A4:H4"/>
      <pageMargins left="0.7" right="0.7" top="0.75" bottom="0.75" header="0.3" footer="0.3"/>
    </customSheetView>
  </customSheetViews>
  <pageMargins left="0.7" right="0.7" top="0.75" bottom="0.75" header="0.3" footer="0.3"/>
  <pageSetup paperSize="9" scale="83" orientation="landscape" r:id="rId1"/>
  <ignoredErrors>
    <ignoredError sqref="C13:H14 C21:H23 C30:H32 H7:H11 H12 H15 H16:H20 H24 H25 H26 H27:H29 C35:H36 C33 E33 C34 E34 C40:H41 C37 E37 C38 E38 C39 E39 C48 C42 E42 C43 E43 C44 E44 C45 E45 C46 E46 C47 E47 E48 G33:H33 G34:H34 G37:H37 G38:H38 G39:H39 G42:H42 G43:H43 G44:H44 G45:H45 G46:H46 G47:H47 G48:H48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I6"/>
  <sheetViews>
    <sheetView showGridLines="0" zoomScaleNormal="100" workbookViewId="0"/>
  </sheetViews>
  <sheetFormatPr defaultRowHeight="14.4" x14ac:dyDescent="0.3"/>
  <cols>
    <col min="1" max="1" width="24.5546875" customWidth="1"/>
    <col min="2" max="3" width="7.5546875" customWidth="1"/>
    <col min="4" max="4" width="9.6640625" customWidth="1"/>
    <col min="5" max="7" width="7.5546875" customWidth="1"/>
    <col min="8" max="8" width="9.5546875" customWidth="1"/>
    <col min="9" max="9" width="7" customWidth="1"/>
    <col min="10" max="10" width="15.5546875" customWidth="1"/>
    <col min="11" max="14" width="5.77734375" customWidth="1"/>
  </cols>
  <sheetData>
    <row r="1" spans="1:9" ht="14.4" customHeight="1" x14ac:dyDescent="0.3">
      <c r="A1" s="45" t="s">
        <v>256</v>
      </c>
      <c r="B1" s="45"/>
      <c r="C1" s="45"/>
      <c r="D1" s="45"/>
      <c r="E1" s="45"/>
      <c r="F1" s="45"/>
      <c r="G1" s="45"/>
      <c r="H1" s="45"/>
      <c r="I1" s="48" t="s">
        <v>3</v>
      </c>
    </row>
    <row r="2" spans="1:9" ht="14.4" customHeight="1" x14ac:dyDescent="0.3">
      <c r="A2" s="728" t="s">
        <v>5</v>
      </c>
      <c r="B2" s="730" t="s">
        <v>617</v>
      </c>
      <c r="C2" s="731"/>
      <c r="D2" s="731"/>
      <c r="E2" s="732"/>
      <c r="F2" s="731" t="s">
        <v>619</v>
      </c>
      <c r="G2" s="731"/>
      <c r="H2" s="731"/>
      <c r="I2" s="731"/>
    </row>
    <row r="3" spans="1:9" ht="15" customHeight="1" x14ac:dyDescent="0.3">
      <c r="A3" s="728"/>
      <c r="B3" s="733" t="s">
        <v>149</v>
      </c>
      <c r="C3" s="734"/>
      <c r="D3" s="734"/>
      <c r="E3" s="735" t="s">
        <v>6</v>
      </c>
      <c r="F3" s="734" t="s">
        <v>149</v>
      </c>
      <c r="G3" s="734"/>
      <c r="H3" s="734"/>
      <c r="I3" s="737" t="s">
        <v>6</v>
      </c>
    </row>
    <row r="4" spans="1:9" ht="36" x14ac:dyDescent="0.3">
      <c r="A4" s="729"/>
      <c r="B4" s="148" t="s">
        <v>355</v>
      </c>
      <c r="C4" s="259" t="s">
        <v>356</v>
      </c>
      <c r="D4" s="259" t="s">
        <v>357</v>
      </c>
      <c r="E4" s="736"/>
      <c r="F4" s="259" t="s">
        <v>355</v>
      </c>
      <c r="G4" s="259" t="s">
        <v>356</v>
      </c>
      <c r="H4" s="259" t="s">
        <v>357</v>
      </c>
      <c r="I4" s="738"/>
    </row>
    <row r="5" spans="1:9" ht="14.1" customHeight="1" x14ac:dyDescent="0.3">
      <c r="A5" s="52" t="s">
        <v>7</v>
      </c>
      <c r="B5" s="53">
        <v>50.699541218904123</v>
      </c>
      <c r="C5" s="54">
        <v>47.763588482791789</v>
      </c>
      <c r="D5" s="54">
        <v>49.667968411004075</v>
      </c>
      <c r="E5" s="55">
        <v>4</v>
      </c>
      <c r="F5" s="54">
        <v>51.596953027854468</v>
      </c>
      <c r="G5" s="54">
        <v>48.78271821337659</v>
      </c>
      <c r="H5" s="54">
        <v>50.98316631075312</v>
      </c>
      <c r="I5" s="56">
        <v>4</v>
      </c>
    </row>
    <row r="6" spans="1:9" ht="14.1" customHeight="1" thickBot="1" x14ac:dyDescent="0.35">
      <c r="A6" s="57" t="s">
        <v>8</v>
      </c>
      <c r="B6" s="58">
        <v>49.300458781095877</v>
      </c>
      <c r="C6" s="59">
        <v>52.236411517208211</v>
      </c>
      <c r="D6" s="59">
        <v>50.332031588995925</v>
      </c>
      <c r="E6" s="60">
        <v>4</v>
      </c>
      <c r="F6" s="59">
        <v>48.403046972145532</v>
      </c>
      <c r="G6" s="59">
        <v>51.21728178662341</v>
      </c>
      <c r="H6" s="59">
        <v>49.01683368924688</v>
      </c>
      <c r="I6" s="61">
        <v>4</v>
      </c>
    </row>
  </sheetData>
  <customSheetViews>
    <customSheetView guid="{5507C501-9942-4310-9E0E-987180BD1180}">
      <selection activeCell="F1" sqref="F1:I1"/>
      <pageMargins left="0.7" right="0.7" top="0.75" bottom="0.75" header="0.3" footer="0.3"/>
    </customSheetView>
    <customSheetView guid="{54A0E5BB-5A66-4415-88CA-030F3BDE4337}">
      <selection activeCell="F14" sqref="F14"/>
      <pageMargins left="0.7" right="0.7" top="0.75" bottom="0.75" header="0.3" footer="0.3"/>
      <pageSetup paperSize="9" orientation="portrait" verticalDpi="0" r:id="rId1"/>
    </customSheetView>
  </customSheetViews>
  <mergeCells count="7">
    <mergeCell ref="A2:A4"/>
    <mergeCell ref="B2:E2"/>
    <mergeCell ref="F2:I2"/>
    <mergeCell ref="B3:D3"/>
    <mergeCell ref="E3:E4"/>
    <mergeCell ref="F3:H3"/>
    <mergeCell ref="I3:I4"/>
  </mergeCells>
  <pageMargins left="0.7" right="0.7" top="0.75" bottom="0.75" header="0.3" footer="0.3"/>
  <pageSetup paperSize="9" scale="97" orientation="portrait" verticalDpi="0" r:id="rId2"/>
  <colBreaks count="1" manualBreakCount="1">
    <brk id="9" max="1048575" man="1"/>
  </colBreaks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29"/>
  <dimension ref="A1:FQ31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58.5546875" style="3" customWidth="1"/>
    <col min="2" max="10" width="7.6640625" style="3" customWidth="1"/>
    <col min="11" max="11" width="8.33203125" style="3" customWidth="1"/>
    <col min="12" max="16384" width="9.109375" style="3"/>
  </cols>
  <sheetData>
    <row r="1" spans="1:173" ht="14.4" x14ac:dyDescent="0.3">
      <c r="K1" s="352" t="s">
        <v>619</v>
      </c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5" customHeight="1" x14ac:dyDescent="0.3">
      <c r="A2" s="45" t="s">
        <v>263</v>
      </c>
      <c r="B2" s="279"/>
      <c r="C2" s="45"/>
      <c r="D2" s="45"/>
      <c r="E2" s="45"/>
      <c r="F2" s="45"/>
      <c r="G2" s="45"/>
      <c r="H2" s="45"/>
      <c r="I2" s="45"/>
      <c r="J2" s="45"/>
      <c r="K2" s="241" t="s">
        <v>425</v>
      </c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5" customHeight="1" x14ac:dyDescent="0.3">
      <c r="A3" s="835" t="s">
        <v>148</v>
      </c>
      <c r="B3" s="837" t="s">
        <v>151</v>
      </c>
      <c r="C3" s="838"/>
      <c r="D3" s="838"/>
      <c r="E3" s="829" t="s">
        <v>133</v>
      </c>
      <c r="F3" s="837" t="s">
        <v>152</v>
      </c>
      <c r="G3" s="838"/>
      <c r="H3" s="838"/>
      <c r="I3" s="829" t="s">
        <v>153</v>
      </c>
      <c r="J3" s="744" t="s">
        <v>154</v>
      </c>
      <c r="K3" s="742" t="s">
        <v>426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4.4" x14ac:dyDescent="0.3">
      <c r="A4" s="836"/>
      <c r="B4" s="148">
        <v>1</v>
      </c>
      <c r="C4" s="259">
        <v>2</v>
      </c>
      <c r="D4" s="259">
        <v>3</v>
      </c>
      <c r="E4" s="839"/>
      <c r="F4" s="259">
        <v>1</v>
      </c>
      <c r="G4" s="259">
        <v>2</v>
      </c>
      <c r="H4" s="259">
        <v>3</v>
      </c>
      <c r="I4" s="839"/>
      <c r="J4" s="738"/>
      <c r="K4" s="752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14.4" x14ac:dyDescent="0.3">
      <c r="A5" s="104" t="s">
        <v>155</v>
      </c>
      <c r="B5" s="315">
        <f>SUM(B6:B26)</f>
        <v>2679.8760000000002</v>
      </c>
      <c r="C5" s="316">
        <f t="shared" ref="C5:D5" si="0">SUM(C6:C26)</f>
        <v>490.05</v>
      </c>
      <c r="D5" s="316">
        <f t="shared" si="0"/>
        <v>146.233</v>
      </c>
      <c r="E5" s="317">
        <f t="shared" ref="E5:E31" si="1">B5+C5+D5</f>
        <v>3316.1590000000006</v>
      </c>
      <c r="F5" s="316">
        <f>SUM(F6:F26)</f>
        <v>32.749999999999993</v>
      </c>
      <c r="G5" s="316">
        <f t="shared" ref="G5" si="2">SUM(G6:G26)</f>
        <v>47.880999999999993</v>
      </c>
      <c r="H5" s="316">
        <f t="shared" ref="H5" si="3">SUM(H6:H26)</f>
        <v>97.989000000000004</v>
      </c>
      <c r="I5" s="317">
        <f t="shared" ref="I5:I31" si="4">F5+G5+H5</f>
        <v>178.62</v>
      </c>
      <c r="J5" s="318">
        <f t="shared" ref="J5:J31" si="5">IF(E5&lt;&gt;0,D5*100/E5,"-")</f>
        <v>4.4097101496038036</v>
      </c>
      <c r="K5" s="318">
        <f t="shared" ref="K5:K31" si="6">IF(D5&lt;&gt;0,H5*100/D5,"-")</f>
        <v>67.008814699828349</v>
      </c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4.4" x14ac:dyDescent="0.3">
      <c r="A6" s="310" t="s">
        <v>156</v>
      </c>
      <c r="B6" s="311">
        <v>29.181999999999999</v>
      </c>
      <c r="C6" s="312">
        <v>28.506</v>
      </c>
      <c r="D6" s="312">
        <v>3.5270000000000001</v>
      </c>
      <c r="E6" s="313">
        <f t="shared" si="1"/>
        <v>61.215000000000003</v>
      </c>
      <c r="F6" s="312">
        <v>0.34699999999999998</v>
      </c>
      <c r="G6" s="312">
        <v>1.8120000000000001</v>
      </c>
      <c r="H6" s="312">
        <v>2.9820000000000002</v>
      </c>
      <c r="I6" s="313">
        <f t="shared" si="4"/>
        <v>5.141</v>
      </c>
      <c r="J6" s="314">
        <f t="shared" si="5"/>
        <v>5.7616597239238745</v>
      </c>
      <c r="K6" s="314">
        <f t="shared" si="6"/>
        <v>84.547774312446847</v>
      </c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4" x14ac:dyDescent="0.3">
      <c r="A7" s="294" t="s">
        <v>157</v>
      </c>
      <c r="B7" s="295">
        <v>15.214</v>
      </c>
      <c r="C7" s="296">
        <v>3.3109999999999999</v>
      </c>
      <c r="D7" s="296">
        <v>2.3940000000000001</v>
      </c>
      <c r="E7" s="297">
        <f t="shared" si="1"/>
        <v>20.918999999999997</v>
      </c>
      <c r="F7" s="296">
        <v>0.154</v>
      </c>
      <c r="G7" s="296">
        <v>0.43099999999999999</v>
      </c>
      <c r="H7" s="296">
        <v>1.0640000000000001</v>
      </c>
      <c r="I7" s="297">
        <f t="shared" si="4"/>
        <v>1.649</v>
      </c>
      <c r="J7" s="298">
        <f t="shared" si="5"/>
        <v>11.444141689373298</v>
      </c>
      <c r="K7" s="298">
        <f t="shared" si="6"/>
        <v>44.444444444444443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4" x14ac:dyDescent="0.3">
      <c r="A8" s="294" t="s">
        <v>158</v>
      </c>
      <c r="B8" s="295">
        <v>395.56400000000002</v>
      </c>
      <c r="C8" s="296">
        <v>57.682000000000002</v>
      </c>
      <c r="D8" s="296">
        <v>51.807000000000002</v>
      </c>
      <c r="E8" s="297">
        <f t="shared" si="1"/>
        <v>505.05300000000005</v>
      </c>
      <c r="F8" s="296">
        <v>4.5039999999999996</v>
      </c>
      <c r="G8" s="296">
        <v>6.0579999999999998</v>
      </c>
      <c r="H8" s="296">
        <v>34.881</v>
      </c>
      <c r="I8" s="297">
        <f t="shared" si="4"/>
        <v>45.442999999999998</v>
      </c>
      <c r="J8" s="298">
        <f t="shared" si="5"/>
        <v>10.257735326787484</v>
      </c>
      <c r="K8" s="298">
        <f t="shared" si="6"/>
        <v>67.328739359546006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24" x14ac:dyDescent="0.3">
      <c r="A9" s="294" t="s">
        <v>159</v>
      </c>
      <c r="B9" s="295">
        <v>297.29000000000002</v>
      </c>
      <c r="C9" s="296">
        <v>3.2480000000000002</v>
      </c>
      <c r="D9" s="296">
        <v>0.45400000000000001</v>
      </c>
      <c r="E9" s="297">
        <f t="shared" si="1"/>
        <v>300.99200000000002</v>
      </c>
      <c r="F9" s="296">
        <v>3.6360000000000001</v>
      </c>
      <c r="G9" s="296">
        <v>0.48399999999999999</v>
      </c>
      <c r="H9" s="296">
        <v>0.45400000000000001</v>
      </c>
      <c r="I9" s="297">
        <f t="shared" si="4"/>
        <v>4.5739999999999998</v>
      </c>
      <c r="J9" s="298">
        <f t="shared" si="5"/>
        <v>0.15083457367637676</v>
      </c>
      <c r="K9" s="298">
        <f t="shared" si="6"/>
        <v>100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24" x14ac:dyDescent="0.3">
      <c r="A10" s="294" t="s">
        <v>160</v>
      </c>
      <c r="B10" s="295">
        <v>27.928999999999998</v>
      </c>
      <c r="C10" s="296">
        <v>2.9729999999999999</v>
      </c>
      <c r="D10" s="296">
        <v>1.0249999999999999</v>
      </c>
      <c r="E10" s="297">
        <f t="shared" si="1"/>
        <v>31.926999999999996</v>
      </c>
      <c r="F10" s="296">
        <v>0.32800000000000001</v>
      </c>
      <c r="G10" s="296">
        <v>0.159</v>
      </c>
      <c r="H10" s="296">
        <v>0.67400000000000004</v>
      </c>
      <c r="I10" s="297">
        <f t="shared" si="4"/>
        <v>1.161</v>
      </c>
      <c r="J10" s="298">
        <f t="shared" si="5"/>
        <v>3.2104488364080557</v>
      </c>
      <c r="K10" s="298">
        <f t="shared" si="6"/>
        <v>65.756097560975618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4" x14ac:dyDescent="0.3">
      <c r="A11" s="294" t="s">
        <v>161</v>
      </c>
      <c r="B11" s="295">
        <v>256.13400000000001</v>
      </c>
      <c r="C11" s="296">
        <v>121.259</v>
      </c>
      <c r="D11" s="296">
        <v>15.455</v>
      </c>
      <c r="E11" s="297">
        <f t="shared" si="1"/>
        <v>392.84800000000001</v>
      </c>
      <c r="F11" s="296">
        <v>3.4329999999999998</v>
      </c>
      <c r="G11" s="296">
        <v>14.124000000000001</v>
      </c>
      <c r="H11" s="296">
        <v>7.8209999999999997</v>
      </c>
      <c r="I11" s="297">
        <f t="shared" si="4"/>
        <v>25.378</v>
      </c>
      <c r="J11" s="298">
        <f t="shared" si="5"/>
        <v>3.9340915570398729</v>
      </c>
      <c r="K11" s="298">
        <f t="shared" si="6"/>
        <v>50.604982206405694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4" x14ac:dyDescent="0.3">
      <c r="A12" s="294" t="s">
        <v>162</v>
      </c>
      <c r="B12" s="295">
        <v>533.34100000000001</v>
      </c>
      <c r="C12" s="296">
        <v>78.798000000000002</v>
      </c>
      <c r="D12" s="296">
        <v>39.186999999999998</v>
      </c>
      <c r="E12" s="297">
        <f t="shared" si="1"/>
        <v>651.32600000000002</v>
      </c>
      <c r="F12" s="296">
        <v>5.5359999999999996</v>
      </c>
      <c r="G12" s="296">
        <v>6.2060000000000004</v>
      </c>
      <c r="H12" s="296">
        <v>28.864000000000001</v>
      </c>
      <c r="I12" s="297">
        <f t="shared" si="4"/>
        <v>40.606000000000002</v>
      </c>
      <c r="J12" s="298">
        <f t="shared" si="5"/>
        <v>6.0164955797864659</v>
      </c>
      <c r="K12" s="298">
        <f t="shared" si="6"/>
        <v>73.657080154132757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4" x14ac:dyDescent="0.3">
      <c r="A13" s="294" t="s">
        <v>163</v>
      </c>
      <c r="B13" s="295">
        <v>120.54600000000001</v>
      </c>
      <c r="C13" s="296">
        <v>18.661999999999999</v>
      </c>
      <c r="D13" s="296">
        <v>6.9820000000000002</v>
      </c>
      <c r="E13" s="297">
        <f t="shared" si="1"/>
        <v>146.19</v>
      </c>
      <c r="F13" s="296">
        <v>1.6120000000000001</v>
      </c>
      <c r="G13" s="296">
        <v>3.0579999999999998</v>
      </c>
      <c r="H13" s="296">
        <v>5.7</v>
      </c>
      <c r="I13" s="297">
        <f t="shared" si="4"/>
        <v>10.370000000000001</v>
      </c>
      <c r="J13" s="298">
        <f t="shared" si="5"/>
        <v>4.775976468978727</v>
      </c>
      <c r="K13" s="298">
        <f t="shared" si="6"/>
        <v>81.638498997421934</v>
      </c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24" x14ac:dyDescent="0.3">
      <c r="A14" s="294" t="s">
        <v>164</v>
      </c>
      <c r="B14" s="295">
        <v>43.545999999999999</v>
      </c>
      <c r="C14" s="296">
        <v>80.119</v>
      </c>
      <c r="D14" s="296">
        <v>3.4350000000000001</v>
      </c>
      <c r="E14" s="297">
        <f t="shared" si="1"/>
        <v>127.1</v>
      </c>
      <c r="F14" s="296">
        <v>0.60899999999999999</v>
      </c>
      <c r="G14" s="296">
        <v>5.5869999999999997</v>
      </c>
      <c r="H14" s="296">
        <v>1.538</v>
      </c>
      <c r="I14" s="297">
        <f t="shared" si="4"/>
        <v>7.734</v>
      </c>
      <c r="J14" s="298">
        <f t="shared" si="5"/>
        <v>2.7025963808025177</v>
      </c>
      <c r="K14" s="298">
        <f t="shared" si="6"/>
        <v>44.774381368267832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ht="14.4" x14ac:dyDescent="0.3">
      <c r="A15" s="294" t="s">
        <v>165</v>
      </c>
      <c r="B15" s="295">
        <v>41.009</v>
      </c>
      <c r="C15" s="296">
        <v>23.783000000000001</v>
      </c>
      <c r="D15" s="296">
        <v>4.5789999999999997</v>
      </c>
      <c r="E15" s="297">
        <f t="shared" si="1"/>
        <v>69.370999999999995</v>
      </c>
      <c r="F15" s="296">
        <v>0.63800000000000001</v>
      </c>
      <c r="G15" s="296">
        <v>2.8540000000000001</v>
      </c>
      <c r="H15" s="296">
        <v>3.419</v>
      </c>
      <c r="I15" s="297">
        <f t="shared" si="4"/>
        <v>6.9109999999999996</v>
      </c>
      <c r="J15" s="298">
        <f t="shared" si="5"/>
        <v>6.6007409436219744</v>
      </c>
      <c r="K15" s="298">
        <f t="shared" si="6"/>
        <v>74.66695785105918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ht="14.4" x14ac:dyDescent="0.3">
      <c r="A16" s="294" t="s">
        <v>166</v>
      </c>
      <c r="B16" s="295">
        <v>194.94</v>
      </c>
      <c r="C16" s="296">
        <v>1.4790000000000001</v>
      </c>
      <c r="D16" s="296">
        <v>0</v>
      </c>
      <c r="E16" s="297">
        <f t="shared" si="1"/>
        <v>196.41900000000001</v>
      </c>
      <c r="F16" s="296">
        <v>2.7269999999999999</v>
      </c>
      <c r="G16" s="296">
        <v>7.6999999999999999E-2</v>
      </c>
      <c r="H16" s="296">
        <v>0</v>
      </c>
      <c r="I16" s="297">
        <f t="shared" si="4"/>
        <v>2.8039999999999998</v>
      </c>
      <c r="J16" s="298">
        <f t="shared" si="5"/>
        <v>0</v>
      </c>
      <c r="K16" s="298" t="str">
        <f t="shared" si="6"/>
        <v>-</v>
      </c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</row>
    <row r="17" spans="1:173" ht="14.4" x14ac:dyDescent="0.3">
      <c r="A17" s="294" t="s">
        <v>167</v>
      </c>
      <c r="B17" s="295">
        <v>42.7</v>
      </c>
      <c r="C17" s="296">
        <v>7.8550000000000004</v>
      </c>
      <c r="D17" s="296">
        <v>6.1680000000000001</v>
      </c>
      <c r="E17" s="297">
        <f t="shared" si="1"/>
        <v>56.723000000000006</v>
      </c>
      <c r="F17" s="296">
        <v>0.61799999999999999</v>
      </c>
      <c r="G17" s="296">
        <v>1.242</v>
      </c>
      <c r="H17" s="296">
        <v>4.0730000000000004</v>
      </c>
      <c r="I17" s="297">
        <f t="shared" si="4"/>
        <v>5.9329999999999998</v>
      </c>
      <c r="J17" s="298">
        <f t="shared" si="5"/>
        <v>10.873895950496271</v>
      </c>
      <c r="K17" s="298">
        <f t="shared" si="6"/>
        <v>66.034370946822321</v>
      </c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</row>
    <row r="18" spans="1:173" ht="14.4" x14ac:dyDescent="0.3">
      <c r="A18" s="294" t="s">
        <v>168</v>
      </c>
      <c r="B18" s="295">
        <v>64.626999999999995</v>
      </c>
      <c r="C18" s="296">
        <v>37.494</v>
      </c>
      <c r="D18" s="296">
        <v>1.954</v>
      </c>
      <c r="E18" s="297">
        <f t="shared" si="1"/>
        <v>104.07499999999999</v>
      </c>
      <c r="F18" s="296">
        <v>0.84299999999999997</v>
      </c>
      <c r="G18" s="296">
        <v>3.0960000000000001</v>
      </c>
      <c r="H18" s="296">
        <v>1.6279999999999999</v>
      </c>
      <c r="I18" s="297">
        <f t="shared" si="4"/>
        <v>5.5670000000000002</v>
      </c>
      <c r="J18" s="298">
        <f t="shared" si="5"/>
        <v>1.8774921931299546</v>
      </c>
      <c r="K18" s="298">
        <f t="shared" si="6"/>
        <v>83.316274309109517</v>
      </c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</row>
    <row r="19" spans="1:173" ht="14.4" x14ac:dyDescent="0.3">
      <c r="A19" s="294" t="s">
        <v>169</v>
      </c>
      <c r="B19" s="295">
        <v>21.251000000000001</v>
      </c>
      <c r="C19" s="296">
        <v>2.74</v>
      </c>
      <c r="D19" s="296">
        <v>2.274</v>
      </c>
      <c r="E19" s="297">
        <f t="shared" si="1"/>
        <v>26.265000000000001</v>
      </c>
      <c r="F19" s="296">
        <v>0.18</v>
      </c>
      <c r="G19" s="296">
        <v>0.27600000000000002</v>
      </c>
      <c r="H19" s="296">
        <v>1.7190000000000001</v>
      </c>
      <c r="I19" s="297">
        <f t="shared" si="4"/>
        <v>2.1750000000000003</v>
      </c>
      <c r="J19" s="298">
        <f t="shared" si="5"/>
        <v>8.6579097658480872</v>
      </c>
      <c r="K19" s="298">
        <f t="shared" si="6"/>
        <v>75.593667546174146</v>
      </c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</row>
    <row r="20" spans="1:173" ht="14.4" x14ac:dyDescent="0.3">
      <c r="A20" s="294" t="s">
        <v>170</v>
      </c>
      <c r="B20" s="295">
        <v>462.94</v>
      </c>
      <c r="C20" s="296">
        <v>15.725</v>
      </c>
      <c r="D20" s="296">
        <v>1.732</v>
      </c>
      <c r="E20" s="297">
        <f t="shared" si="1"/>
        <v>480.39700000000005</v>
      </c>
      <c r="F20" s="296">
        <v>6.6260000000000003</v>
      </c>
      <c r="G20" s="296">
        <v>2.0760000000000001</v>
      </c>
      <c r="H20" s="296">
        <v>0.92300000000000004</v>
      </c>
      <c r="I20" s="297">
        <f t="shared" si="4"/>
        <v>9.625</v>
      </c>
      <c r="J20" s="298">
        <f t="shared" si="5"/>
        <v>0.36053514072735671</v>
      </c>
      <c r="K20" s="298">
        <f t="shared" si="6"/>
        <v>53.29099307159354</v>
      </c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</row>
    <row r="21" spans="1:173" ht="14.4" x14ac:dyDescent="0.3">
      <c r="A21" s="294" t="s">
        <v>171</v>
      </c>
      <c r="B21" s="295">
        <v>3.048</v>
      </c>
      <c r="C21" s="296">
        <v>1.6E-2</v>
      </c>
      <c r="D21" s="296">
        <v>1.129</v>
      </c>
      <c r="E21" s="297">
        <f t="shared" si="1"/>
        <v>4.1929999999999996</v>
      </c>
      <c r="F21" s="296">
        <v>0.04</v>
      </c>
      <c r="G21" s="296">
        <v>1E-3</v>
      </c>
      <c r="H21" s="296">
        <v>0.58799999999999997</v>
      </c>
      <c r="I21" s="297">
        <f t="shared" si="4"/>
        <v>0.629</v>
      </c>
      <c r="J21" s="298">
        <f t="shared" si="5"/>
        <v>26.925828762222757</v>
      </c>
      <c r="K21" s="298">
        <f t="shared" si="6"/>
        <v>52.081488042515495</v>
      </c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</row>
    <row r="22" spans="1:173" ht="14.4" x14ac:dyDescent="0.3">
      <c r="A22" s="294" t="s">
        <v>172</v>
      </c>
      <c r="B22" s="295">
        <v>108.982</v>
      </c>
      <c r="C22" s="296">
        <v>2.7360000000000002</v>
      </c>
      <c r="D22" s="296">
        <v>1.1459999999999999</v>
      </c>
      <c r="E22" s="297">
        <f t="shared" si="1"/>
        <v>112.864</v>
      </c>
      <c r="F22" s="296">
        <v>0.63700000000000001</v>
      </c>
      <c r="G22" s="296">
        <v>0.156</v>
      </c>
      <c r="H22" s="296">
        <v>1.0549999999999999</v>
      </c>
      <c r="I22" s="297">
        <f t="shared" si="4"/>
        <v>1.8479999999999999</v>
      </c>
      <c r="J22" s="298">
        <f t="shared" si="5"/>
        <v>1.0153813439183441</v>
      </c>
      <c r="K22" s="298">
        <f t="shared" si="6"/>
        <v>92.059336823734739</v>
      </c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</row>
    <row r="23" spans="1:173" ht="14.4" x14ac:dyDescent="0.3">
      <c r="A23" s="294" t="s">
        <v>173</v>
      </c>
      <c r="B23" s="295">
        <v>8.31</v>
      </c>
      <c r="C23" s="296">
        <v>2.4769999999999999</v>
      </c>
      <c r="D23" s="296">
        <v>2.8119999999999998</v>
      </c>
      <c r="E23" s="297">
        <f t="shared" si="1"/>
        <v>13.599</v>
      </c>
      <c r="F23" s="296">
        <v>5.5E-2</v>
      </c>
      <c r="G23" s="296">
        <v>0.124</v>
      </c>
      <c r="H23" s="296">
        <v>0.44400000000000001</v>
      </c>
      <c r="I23" s="297">
        <f t="shared" si="4"/>
        <v>0.623</v>
      </c>
      <c r="J23" s="298">
        <f t="shared" si="5"/>
        <v>20.677991028752114</v>
      </c>
      <c r="K23" s="298">
        <f t="shared" si="6"/>
        <v>15.789473684210527</v>
      </c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</row>
    <row r="24" spans="1:173" ht="14.4" x14ac:dyDescent="0.3">
      <c r="A24" s="294" t="s">
        <v>174</v>
      </c>
      <c r="B24" s="295">
        <v>13.323</v>
      </c>
      <c r="C24" s="296">
        <v>1.1870000000000001</v>
      </c>
      <c r="D24" s="296">
        <v>0.17299999999999999</v>
      </c>
      <c r="E24" s="297">
        <f t="shared" si="1"/>
        <v>14.683</v>
      </c>
      <c r="F24" s="296">
        <v>0.22700000000000001</v>
      </c>
      <c r="G24" s="296">
        <v>0.06</v>
      </c>
      <c r="H24" s="296">
        <v>0.16200000000000001</v>
      </c>
      <c r="I24" s="297">
        <f t="shared" si="4"/>
        <v>0.44900000000000007</v>
      </c>
      <c r="J24" s="298">
        <f t="shared" si="5"/>
        <v>1.1782333310631341</v>
      </c>
      <c r="K24" s="298">
        <f t="shared" si="6"/>
        <v>93.641618497109832</v>
      </c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</row>
    <row r="25" spans="1:173" ht="24" x14ac:dyDescent="0.3">
      <c r="A25" s="294" t="s">
        <v>175</v>
      </c>
      <c r="B25" s="295">
        <v>0</v>
      </c>
      <c r="C25" s="296">
        <v>0</v>
      </c>
      <c r="D25" s="296">
        <v>0</v>
      </c>
      <c r="E25" s="297">
        <f t="shared" si="1"/>
        <v>0</v>
      </c>
      <c r="F25" s="296">
        <v>0</v>
      </c>
      <c r="G25" s="296">
        <v>0</v>
      </c>
      <c r="H25" s="296">
        <v>0</v>
      </c>
      <c r="I25" s="297">
        <f t="shared" si="4"/>
        <v>0</v>
      </c>
      <c r="J25" s="298" t="str">
        <f t="shared" si="5"/>
        <v>-</v>
      </c>
      <c r="K25" s="298" t="str">
        <f t="shared" si="6"/>
        <v>-</v>
      </c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</row>
    <row r="26" spans="1:173" ht="14.4" x14ac:dyDescent="0.3">
      <c r="A26" s="299" t="s">
        <v>176</v>
      </c>
      <c r="B26" s="300">
        <v>0</v>
      </c>
      <c r="C26" s="301">
        <v>0</v>
      </c>
      <c r="D26" s="301">
        <v>0</v>
      </c>
      <c r="E26" s="302">
        <f t="shared" si="1"/>
        <v>0</v>
      </c>
      <c r="F26" s="301">
        <v>0</v>
      </c>
      <c r="G26" s="301">
        <v>0</v>
      </c>
      <c r="H26" s="301">
        <v>0</v>
      </c>
      <c r="I26" s="302">
        <f t="shared" si="4"/>
        <v>0</v>
      </c>
      <c r="J26" s="303" t="str">
        <f t="shared" si="5"/>
        <v>-</v>
      </c>
      <c r="K26" s="303" t="str">
        <f t="shared" si="6"/>
        <v>-</v>
      </c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</row>
    <row r="27" spans="1:173" ht="14.4" x14ac:dyDescent="0.3">
      <c r="A27" s="104" t="s">
        <v>177</v>
      </c>
      <c r="B27" s="315">
        <f>SUM(B28:B30)</f>
        <v>3074.5190000000002</v>
      </c>
      <c r="C27" s="316">
        <f t="shared" ref="C27:D27" si="7">SUM(C28:C30)</f>
        <v>211.577</v>
      </c>
      <c r="D27" s="316">
        <f t="shared" si="7"/>
        <v>98.498000000000005</v>
      </c>
      <c r="E27" s="317">
        <f t="shared" si="1"/>
        <v>3384.5940000000005</v>
      </c>
      <c r="F27" s="316">
        <f>SUM(F28:F30)</f>
        <v>38.910000000000004</v>
      </c>
      <c r="G27" s="316">
        <f t="shared" ref="G27" si="8">SUM(G28:G30)</f>
        <v>31.083000000000002</v>
      </c>
      <c r="H27" s="316">
        <f t="shared" ref="H27" si="9">SUM(H28:H30)</f>
        <v>83.529000000000011</v>
      </c>
      <c r="I27" s="317">
        <f t="shared" si="4"/>
        <v>153.52200000000002</v>
      </c>
      <c r="J27" s="318">
        <f t="shared" si="5"/>
        <v>2.9101865689060489</v>
      </c>
      <c r="K27" s="318">
        <f t="shared" si="6"/>
        <v>84.802737111413435</v>
      </c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</row>
    <row r="28" spans="1:173" ht="14.4" x14ac:dyDescent="0.3">
      <c r="A28" s="310" t="s">
        <v>178</v>
      </c>
      <c r="B28" s="311">
        <v>1992.5160000000001</v>
      </c>
      <c r="C28" s="312">
        <v>142.82499999999999</v>
      </c>
      <c r="D28" s="312">
        <v>76.754000000000005</v>
      </c>
      <c r="E28" s="313">
        <f t="shared" si="1"/>
        <v>2212.0949999999998</v>
      </c>
      <c r="F28" s="312">
        <v>27.492999999999999</v>
      </c>
      <c r="G28" s="312">
        <v>21.291</v>
      </c>
      <c r="H28" s="312">
        <v>66.751000000000005</v>
      </c>
      <c r="I28" s="313">
        <f t="shared" si="4"/>
        <v>115.535</v>
      </c>
      <c r="J28" s="314">
        <f t="shared" si="5"/>
        <v>3.4697424839349131</v>
      </c>
      <c r="K28" s="314">
        <f t="shared" si="6"/>
        <v>86.967454464913885</v>
      </c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</row>
    <row r="29" spans="1:173" ht="14.4" x14ac:dyDescent="0.3">
      <c r="A29" s="294" t="s">
        <v>179</v>
      </c>
      <c r="B29" s="295">
        <v>958.60299999999995</v>
      </c>
      <c r="C29" s="296">
        <v>46.554000000000002</v>
      </c>
      <c r="D29" s="296">
        <v>6.05</v>
      </c>
      <c r="E29" s="297">
        <f t="shared" si="1"/>
        <v>1011.2069999999999</v>
      </c>
      <c r="F29" s="296">
        <v>9.83</v>
      </c>
      <c r="G29" s="296">
        <v>7.0590000000000002</v>
      </c>
      <c r="H29" s="296">
        <v>4.1379999999999999</v>
      </c>
      <c r="I29" s="297">
        <f t="shared" si="4"/>
        <v>21.027000000000001</v>
      </c>
      <c r="J29" s="298">
        <f t="shared" si="5"/>
        <v>0.59829490895533766</v>
      </c>
      <c r="K29" s="298">
        <f t="shared" si="6"/>
        <v>68.396694214876035</v>
      </c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</row>
    <row r="30" spans="1:173" ht="14.4" x14ac:dyDescent="0.3">
      <c r="A30" s="304" t="s">
        <v>180</v>
      </c>
      <c r="B30" s="305">
        <v>123.4</v>
      </c>
      <c r="C30" s="306">
        <v>22.198</v>
      </c>
      <c r="D30" s="306">
        <v>15.694000000000001</v>
      </c>
      <c r="E30" s="307">
        <f t="shared" si="1"/>
        <v>161.292</v>
      </c>
      <c r="F30" s="306">
        <v>1.587</v>
      </c>
      <c r="G30" s="306">
        <v>2.7330000000000001</v>
      </c>
      <c r="H30" s="306">
        <v>12.64</v>
      </c>
      <c r="I30" s="307">
        <f t="shared" si="4"/>
        <v>16.96</v>
      </c>
      <c r="J30" s="308">
        <f t="shared" si="5"/>
        <v>9.7301788061404171</v>
      </c>
      <c r="K30" s="308">
        <f t="shared" si="6"/>
        <v>80.540333885561353</v>
      </c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</row>
    <row r="31" spans="1:173" ht="15" thickBot="1" x14ac:dyDescent="0.35">
      <c r="A31" s="80" t="s">
        <v>181</v>
      </c>
      <c r="B31" s="81">
        <f>B5+B27</f>
        <v>5754.3950000000004</v>
      </c>
      <c r="C31" s="277">
        <f t="shared" ref="C31:D31" si="10">C5+C27</f>
        <v>701.62699999999995</v>
      </c>
      <c r="D31" s="277">
        <f t="shared" si="10"/>
        <v>244.73099999999999</v>
      </c>
      <c r="E31" s="276">
        <f t="shared" si="1"/>
        <v>6700.7530000000006</v>
      </c>
      <c r="F31" s="277">
        <f>F5+F27</f>
        <v>71.66</v>
      </c>
      <c r="G31" s="277">
        <f t="shared" ref="G31:H31" si="11">G5+G27</f>
        <v>78.963999999999999</v>
      </c>
      <c r="H31" s="277">
        <f t="shared" si="11"/>
        <v>181.51800000000003</v>
      </c>
      <c r="I31" s="276">
        <f t="shared" si="4"/>
        <v>332.14200000000005</v>
      </c>
      <c r="J31" s="309">
        <f t="shared" si="5"/>
        <v>3.6522910186362632</v>
      </c>
      <c r="K31" s="309">
        <f t="shared" si="6"/>
        <v>74.170415680890457</v>
      </c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</row>
  </sheetData>
  <mergeCells count="7">
    <mergeCell ref="K3:K4"/>
    <mergeCell ref="A3:A4"/>
    <mergeCell ref="B3:D3"/>
    <mergeCell ref="E3:E4"/>
    <mergeCell ref="F3:H3"/>
    <mergeCell ref="I3:I4"/>
    <mergeCell ref="J3:J4"/>
  </mergeCells>
  <pageMargins left="0.7" right="0.7" top="0.75" bottom="0.75" header="0.3" footer="0.3"/>
  <pageSetup paperSize="9" scale="85" orientation="landscape" verticalDpi="0" r:id="rId1"/>
  <ignoredErrors>
    <ignoredError sqref="E5 E27:E3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D6"/>
  <sheetViews>
    <sheetView showGridLines="0" topLeftCell="A2" zoomScaleNormal="100" workbookViewId="0">
      <selection activeCell="A2" sqref="A2"/>
    </sheetView>
  </sheetViews>
  <sheetFormatPr defaultRowHeight="14.4" x14ac:dyDescent="0.3"/>
  <cols>
    <col min="1" max="1" width="20.44140625" customWidth="1"/>
    <col min="2" max="4" width="21" customWidth="1"/>
  </cols>
  <sheetData>
    <row r="1" spans="1:4" hidden="1" x14ac:dyDescent="0.3">
      <c r="A1" s="22"/>
    </row>
    <row r="2" spans="1:4" x14ac:dyDescent="0.3">
      <c r="A2" s="83" t="s">
        <v>257</v>
      </c>
      <c r="B2" s="63"/>
      <c r="C2" s="63"/>
      <c r="D2" s="64" t="s">
        <v>354</v>
      </c>
    </row>
    <row r="3" spans="1:4" x14ac:dyDescent="0.3">
      <c r="A3" s="77" t="s">
        <v>0</v>
      </c>
      <c r="B3" s="65" t="s">
        <v>1</v>
      </c>
      <c r="C3" s="65" t="s">
        <v>419</v>
      </c>
      <c r="D3" s="65" t="s">
        <v>257</v>
      </c>
    </row>
    <row r="4" spans="1:4" x14ac:dyDescent="0.3">
      <c r="A4" s="261" t="s">
        <v>610</v>
      </c>
      <c r="B4" s="66">
        <v>3021</v>
      </c>
      <c r="C4" s="67">
        <v>10370.148999999999</v>
      </c>
      <c r="D4" s="67">
        <f>IFERROR(C4/B4,0)</f>
        <v>3.4326875206885137</v>
      </c>
    </row>
    <row r="5" spans="1:4" x14ac:dyDescent="0.3">
      <c r="A5" s="114" t="s">
        <v>617</v>
      </c>
      <c r="B5" s="47">
        <v>3139</v>
      </c>
      <c r="C5" s="68">
        <v>11205.343999999999</v>
      </c>
      <c r="D5" s="68">
        <f>IFERROR(C5/B5,0)</f>
        <v>3.5697177445046191</v>
      </c>
    </row>
    <row r="6" spans="1:4" x14ac:dyDescent="0.3">
      <c r="A6" s="262" t="s">
        <v>619</v>
      </c>
      <c r="B6" s="69">
        <v>3127</v>
      </c>
      <c r="C6" s="70">
        <v>11369.057000000001</v>
      </c>
      <c r="D6" s="70">
        <f>IFERROR(C6/B6,0)</f>
        <v>3.6357713463383439</v>
      </c>
    </row>
  </sheetData>
  <customSheetViews>
    <customSheetView guid="{5507C501-9942-4310-9E0E-987180BD1180}">
      <selection activeCell="C14" sqref="C14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F11" sqref="F11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2E62-7C69-4B3E-B79E-4124B0156FB6}">
  <sheetPr codeName="Sheet185">
    <tabColor theme="0" tint="-4.9989318521683403E-2"/>
  </sheetPr>
  <dimension ref="A1:FW26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43.44140625" style="3" customWidth="1"/>
    <col min="2" max="2" width="8.6640625" style="3" customWidth="1"/>
    <col min="3" max="3" width="6.5546875" style="3" customWidth="1"/>
    <col min="4" max="4" width="8.6640625" style="3" customWidth="1"/>
    <col min="5" max="5" width="6.5546875" style="3" customWidth="1"/>
    <col min="6" max="6" width="8.6640625" style="3" customWidth="1"/>
    <col min="7" max="7" width="6.5546875" style="3" customWidth="1"/>
    <col min="8" max="8" width="8.5546875" style="171" customWidth="1"/>
    <col min="9" max="9" width="9.109375" style="569" hidden="1" customWidth="1"/>
    <col min="10" max="10" width="9.109375" style="3"/>
    <col min="11" max="14" width="5.77734375" style="3" customWidth="1"/>
    <col min="15" max="16384" width="9.109375" style="3"/>
  </cols>
  <sheetData>
    <row r="1" spans="1:179" ht="12" hidden="1" customHeight="1" x14ac:dyDescent="0.3"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A2" s="2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x14ac:dyDescent="0.3">
      <c r="A3" s="76" t="s">
        <v>423</v>
      </c>
      <c r="B3" s="387"/>
      <c r="C3" s="387"/>
      <c r="D3" s="387"/>
      <c r="E3" s="387"/>
      <c r="F3" s="387"/>
      <c r="G3" s="387"/>
      <c r="H3" s="64" t="s">
        <v>354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customHeight="1" x14ac:dyDescent="0.3">
      <c r="A4" s="728" t="s">
        <v>10</v>
      </c>
      <c r="B4" s="739" t="s">
        <v>610</v>
      </c>
      <c r="C4" s="740"/>
      <c r="D4" s="739" t="s">
        <v>617</v>
      </c>
      <c r="E4" s="740"/>
      <c r="F4" s="739" t="s">
        <v>619</v>
      </c>
      <c r="G4" s="740"/>
      <c r="H4" s="742" t="str">
        <f>IF(LEN(F4)&gt;5,"Индекс " &amp; MID(F4,1,2) &amp; "-" &amp; MID(F4,4,5) &amp; "/" &amp; D4,"Индекс " &amp; F4 &amp; "/" &amp; D4)</f>
        <v>Индекс 03-2025./2024.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14.4" x14ac:dyDescent="0.3">
      <c r="A5" s="741"/>
      <c r="B5" s="72" t="s">
        <v>2</v>
      </c>
      <c r="C5" s="73" t="s">
        <v>3</v>
      </c>
      <c r="D5" s="72" t="s">
        <v>2</v>
      </c>
      <c r="E5" s="73" t="s">
        <v>3</v>
      </c>
      <c r="F5" s="72" t="s">
        <v>2</v>
      </c>
      <c r="G5" s="73" t="s">
        <v>3</v>
      </c>
      <c r="H5" s="743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4.4" x14ac:dyDescent="0.3">
      <c r="A6" s="385" t="s">
        <v>358</v>
      </c>
      <c r="B6" s="397"/>
      <c r="C6" s="398"/>
      <c r="D6" s="397"/>
      <c r="E6" s="398"/>
      <c r="F6" s="397"/>
      <c r="G6" s="398"/>
      <c r="H6" s="399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4" x14ac:dyDescent="0.3">
      <c r="A7" s="52" t="s">
        <v>468</v>
      </c>
      <c r="B7" s="395">
        <v>2560.04</v>
      </c>
      <c r="C7" s="356">
        <f t="shared" ref="C7:C12" si="0">IF(B$13&lt;&gt;0,B7*100/B$13,0)</f>
        <v>24.686626971319313</v>
      </c>
      <c r="D7" s="395">
        <v>2755.931</v>
      </c>
      <c r="E7" s="356">
        <f t="shared" ref="E7:E12" si="1">IF(D$13&lt;&gt;0,D7*100/D$13,0)</f>
        <v>24.594791556600136</v>
      </c>
      <c r="F7" s="395">
        <v>2920.6039999999998</v>
      </c>
      <c r="G7" s="356">
        <f t="shared" ref="G7:G12" si="2">IF(F$13&lt;&gt;0,F7*100/F$13,0)</f>
        <v>25.689061106827062</v>
      </c>
      <c r="H7" s="47">
        <f>IF(D7&lt;&gt;0,F7/D7*100,"")</f>
        <v>105.97522216630242</v>
      </c>
      <c r="I7" s="569" t="s">
        <v>487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4" x14ac:dyDescent="0.3">
      <c r="A8" s="52" t="s">
        <v>469</v>
      </c>
      <c r="B8" s="395">
        <v>1389.796</v>
      </c>
      <c r="C8" s="356">
        <f t="shared" si="0"/>
        <v>13.401890368209754</v>
      </c>
      <c r="D8" s="395">
        <v>1329.1849999999999</v>
      </c>
      <c r="E8" s="356">
        <f t="shared" si="1"/>
        <v>11.862063315503747</v>
      </c>
      <c r="F8" s="395">
        <v>1375.06</v>
      </c>
      <c r="G8" s="356">
        <f t="shared" si="2"/>
        <v>12.094758606628499</v>
      </c>
      <c r="H8" s="47">
        <f t="shared" ref="H8:H26" si="3">IF(D8&lt;&gt;0,F8/D8*100,"")</f>
        <v>103.45136305329959</v>
      </c>
      <c r="I8" s="569" t="s">
        <v>492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4" x14ac:dyDescent="0.3">
      <c r="A9" s="52" t="s">
        <v>206</v>
      </c>
      <c r="B9" s="395">
        <v>28.584</v>
      </c>
      <c r="C9" s="356">
        <f t="shared" si="0"/>
        <v>0.27563731244363027</v>
      </c>
      <c r="D9" s="395">
        <v>51.389000000000003</v>
      </c>
      <c r="E9" s="356">
        <f t="shared" si="1"/>
        <v>0.45861153392524145</v>
      </c>
      <c r="F9" s="395">
        <v>0.34</v>
      </c>
      <c r="G9" s="356">
        <f t="shared" si="2"/>
        <v>2.9905734486158349E-3</v>
      </c>
      <c r="H9" s="47">
        <f t="shared" si="3"/>
        <v>0.66162019109147874</v>
      </c>
      <c r="I9" s="569" t="s">
        <v>488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4" x14ac:dyDescent="0.3">
      <c r="A10" s="52" t="s">
        <v>12</v>
      </c>
      <c r="B10" s="395">
        <v>6056.5429999999997</v>
      </c>
      <c r="C10" s="356">
        <f t="shared" si="0"/>
        <v>58.403625637394406</v>
      </c>
      <c r="D10" s="395">
        <v>6695.1629999999996</v>
      </c>
      <c r="E10" s="356">
        <f t="shared" si="1"/>
        <v>59.74973191362978</v>
      </c>
      <c r="F10" s="395">
        <v>6700.7520000000004</v>
      </c>
      <c r="G10" s="356">
        <f t="shared" si="2"/>
        <v>58.93850299105722</v>
      </c>
      <c r="H10" s="47">
        <f t="shared" si="3"/>
        <v>100.08347817670757</v>
      </c>
      <c r="I10" s="569" t="s">
        <v>428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4" x14ac:dyDescent="0.3">
      <c r="A11" s="52" t="s">
        <v>470</v>
      </c>
      <c r="B11" s="395">
        <v>189.06800000000001</v>
      </c>
      <c r="C11" s="356">
        <f t="shared" si="0"/>
        <v>1.8231946329797193</v>
      </c>
      <c r="D11" s="395">
        <v>193.57900000000001</v>
      </c>
      <c r="E11" s="356">
        <f t="shared" si="1"/>
        <v>1.7275596358309038</v>
      </c>
      <c r="F11" s="395">
        <v>192.876</v>
      </c>
      <c r="G11" s="356">
        <f t="shared" si="2"/>
        <v>1.6964995425741995</v>
      </c>
      <c r="H11" s="47">
        <f t="shared" si="3"/>
        <v>99.636840773017738</v>
      </c>
      <c r="I11" s="569" t="s">
        <v>489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4" x14ac:dyDescent="0.3">
      <c r="A12" s="52" t="s">
        <v>471</v>
      </c>
      <c r="B12" s="395">
        <v>146.11799999999999</v>
      </c>
      <c r="C12" s="356">
        <f t="shared" si="0"/>
        <v>1.4090250776531754</v>
      </c>
      <c r="D12" s="395">
        <v>180.09700000000001</v>
      </c>
      <c r="E12" s="356">
        <f t="shared" si="1"/>
        <v>1.6072420445101911</v>
      </c>
      <c r="F12" s="395">
        <v>179.42500000000001</v>
      </c>
      <c r="G12" s="356">
        <f t="shared" si="2"/>
        <v>1.5781871794644005</v>
      </c>
      <c r="H12" s="47">
        <f t="shared" si="3"/>
        <v>99.62686774349379</v>
      </c>
      <c r="I12" s="569" t="s">
        <v>493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4" x14ac:dyDescent="0.3">
      <c r="A13" s="5" t="s">
        <v>472</v>
      </c>
      <c r="B13" s="396">
        <f t="shared" ref="B13:G13" si="4">SUM(B7:B12)</f>
        <v>10370.148999999999</v>
      </c>
      <c r="C13" s="454">
        <f t="shared" si="4"/>
        <v>99.999999999999986</v>
      </c>
      <c r="D13" s="396">
        <f t="shared" si="4"/>
        <v>11205.343999999999</v>
      </c>
      <c r="E13" s="454">
        <f t="shared" si="4"/>
        <v>100</v>
      </c>
      <c r="F13" s="396">
        <f t="shared" si="4"/>
        <v>11369.057000000001</v>
      </c>
      <c r="G13" s="454">
        <f t="shared" si="4"/>
        <v>100</v>
      </c>
      <c r="H13" s="95">
        <f t="shared" si="3"/>
        <v>101.46102609611987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4.4" x14ac:dyDescent="0.3">
      <c r="A14" s="5" t="s">
        <v>473</v>
      </c>
      <c r="B14" s="396">
        <f>B15+B16</f>
        <v>339.572</v>
      </c>
      <c r="C14" s="455"/>
      <c r="D14" s="396">
        <f>D15+D16</f>
        <v>349.524</v>
      </c>
      <c r="E14" s="455"/>
      <c r="F14" s="396">
        <f>F15+F16</f>
        <v>354.57</v>
      </c>
      <c r="G14" s="455"/>
      <c r="H14" s="95">
        <f t="shared" si="3"/>
        <v>101.4436776873691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4.4" x14ac:dyDescent="0.3">
      <c r="A15" s="52" t="s">
        <v>474</v>
      </c>
      <c r="B15" s="395">
        <v>314.91500000000002</v>
      </c>
      <c r="C15" s="356"/>
      <c r="D15" s="395">
        <v>327.17</v>
      </c>
      <c r="E15" s="356"/>
      <c r="F15" s="395">
        <v>332.14699999999999</v>
      </c>
      <c r="G15" s="356"/>
      <c r="H15" s="47">
        <f t="shared" si="3"/>
        <v>101.5212274964086</v>
      </c>
      <c r="I15" s="569" t="s">
        <v>485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4.4" x14ac:dyDescent="0.3">
      <c r="A16" s="52" t="s">
        <v>475</v>
      </c>
      <c r="B16" s="395">
        <v>24.657</v>
      </c>
      <c r="C16" s="356"/>
      <c r="D16" s="395">
        <v>22.353999999999999</v>
      </c>
      <c r="E16" s="356"/>
      <c r="F16" s="395">
        <v>22.422999999999998</v>
      </c>
      <c r="G16" s="356"/>
      <c r="H16" s="47">
        <f t="shared" si="3"/>
        <v>100.30866958933524</v>
      </c>
      <c r="I16" s="569" t="s">
        <v>486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ht="14.4" x14ac:dyDescent="0.3">
      <c r="A17" s="5" t="s">
        <v>476</v>
      </c>
      <c r="B17" s="396">
        <f>B13-B14</f>
        <v>10030.576999999999</v>
      </c>
      <c r="C17" s="455"/>
      <c r="D17" s="396">
        <f>D13-D14</f>
        <v>10855.82</v>
      </c>
      <c r="E17" s="455"/>
      <c r="F17" s="396">
        <f>F13-F14</f>
        <v>11014.487000000001</v>
      </c>
      <c r="G17" s="455"/>
      <c r="H17" s="95">
        <f t="shared" si="3"/>
        <v>101.46158466149954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ht="14.4" x14ac:dyDescent="0.3">
      <c r="A18" s="385" t="s">
        <v>477</v>
      </c>
      <c r="B18" s="400"/>
      <c r="C18" s="456"/>
      <c r="D18" s="400"/>
      <c r="E18" s="456"/>
      <c r="F18" s="400"/>
      <c r="G18" s="456"/>
      <c r="H18" s="562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19" spans="1:179" ht="14.4" x14ac:dyDescent="0.3">
      <c r="A19" s="52" t="s">
        <v>478</v>
      </c>
      <c r="B19" s="395">
        <v>7740.107</v>
      </c>
      <c r="C19" s="356">
        <f>IF(B$26&lt;&gt;0,B19*100/B$26,0)</f>
        <v>77.165122205831224</v>
      </c>
      <c r="D19" s="395">
        <v>8354.1749999999993</v>
      </c>
      <c r="E19" s="356">
        <f>IF(D$26&lt;&gt;0,D19*100/D$26,0)</f>
        <v>76.955725131772624</v>
      </c>
      <c r="F19" s="395">
        <v>8450.5540000000001</v>
      </c>
      <c r="G19" s="356">
        <f>IF(F$26&lt;&gt;0,F19*100/F$26,0)</f>
        <v>76.722175077241459</v>
      </c>
      <c r="H19" s="47">
        <f t="shared" si="3"/>
        <v>101.15366268961327</v>
      </c>
      <c r="I19" s="569" t="s">
        <v>429</v>
      </c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</row>
    <row r="20" spans="1:179" ht="14.4" x14ac:dyDescent="0.3">
      <c r="A20" s="52" t="s">
        <v>479</v>
      </c>
      <c r="B20" s="395">
        <v>717.84799999999996</v>
      </c>
      <c r="C20" s="356">
        <f t="shared" ref="C20:E25" si="5">IF(B$26&lt;&gt;0,B20*100/B$26,0)</f>
        <v>7.1565972725198153</v>
      </c>
      <c r="D20" s="395">
        <v>671.36900000000003</v>
      </c>
      <c r="E20" s="356">
        <f t="shared" si="5"/>
        <v>6.1844153642930717</v>
      </c>
      <c r="F20" s="395">
        <v>676.66600000000005</v>
      </c>
      <c r="G20" s="356">
        <f t="shared" ref="G20" si="6">IF(F$26&lt;&gt;0,F20*100/F$26,0)</f>
        <v>6.1434182091276703</v>
      </c>
      <c r="H20" s="47">
        <f t="shared" si="3"/>
        <v>100.78898489504282</v>
      </c>
      <c r="I20" s="569" t="s">
        <v>430</v>
      </c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</row>
    <row r="21" spans="1:179" ht="14.4" x14ac:dyDescent="0.3">
      <c r="A21" s="52" t="s">
        <v>480</v>
      </c>
      <c r="B21" s="395">
        <v>70.849000000000004</v>
      </c>
      <c r="C21" s="356">
        <f>IF(B$26&lt;&gt;0,B21*100/B$26,0)</f>
        <v>0.70633025398239813</v>
      </c>
      <c r="D21" s="395">
        <v>99.652000000000001</v>
      </c>
      <c r="E21" s="356">
        <f t="shared" si="5"/>
        <v>0.91795921450429363</v>
      </c>
      <c r="F21" s="395">
        <v>91.828999999999994</v>
      </c>
      <c r="G21" s="356">
        <f t="shared" ref="G21:G22" si="7">IF(F$26&lt;&gt;0,F21*100/F$26,0)</f>
        <v>0.83371109339908434</v>
      </c>
      <c r="H21" s="47">
        <f t="shared" si="3"/>
        <v>92.149680889495428</v>
      </c>
      <c r="I21" s="569" t="s">
        <v>431</v>
      </c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</row>
    <row r="22" spans="1:179" ht="14.4" x14ac:dyDescent="0.3">
      <c r="A22" s="151" t="s">
        <v>551</v>
      </c>
      <c r="B22" s="395">
        <v>16.96</v>
      </c>
      <c r="C22" s="356">
        <f>IF(B$26&lt;&gt;0,B22*100/B$26,0)</f>
        <v>0.16908299492641352</v>
      </c>
      <c r="D22" s="395">
        <v>16.908000000000001</v>
      </c>
      <c r="E22" s="356">
        <f t="shared" si="5"/>
        <v>0.155750555922998</v>
      </c>
      <c r="F22" s="395">
        <v>14.976000000000001</v>
      </c>
      <c r="G22" s="356">
        <f t="shared" si="7"/>
        <v>0.13596638681402051</v>
      </c>
      <c r="H22" s="47">
        <f>IF(D22&lt;&gt;0,F22/D22*100,"")</f>
        <v>88.573456352022703</v>
      </c>
      <c r="I22" s="569" t="s">
        <v>490</v>
      </c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</row>
    <row r="23" spans="1:179" ht="14.4" x14ac:dyDescent="0.3">
      <c r="A23" s="52" t="s">
        <v>552</v>
      </c>
      <c r="B23" s="395">
        <v>178.75399999999999</v>
      </c>
      <c r="C23" s="356">
        <f t="shared" si="5"/>
        <v>1.782090900653073</v>
      </c>
      <c r="D23" s="395">
        <v>227.071</v>
      </c>
      <c r="E23" s="356">
        <f t="shared" si="5"/>
        <v>2.0916982779743951</v>
      </c>
      <c r="F23" s="395">
        <v>203.58799999999999</v>
      </c>
      <c r="G23" s="356">
        <f t="shared" ref="G23" si="8">IF(F$26&lt;&gt;0,F23*100/F$26,0)</f>
        <v>1.8483657023699789</v>
      </c>
      <c r="H23" s="47">
        <f>IF(D23&lt;&gt;0,F23/D23*100,"")</f>
        <v>89.658300707708165</v>
      </c>
      <c r="I23" s="569" t="s">
        <v>494</v>
      </c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</row>
    <row r="24" spans="1:179" ht="14.4" x14ac:dyDescent="0.3">
      <c r="A24" s="543" t="s">
        <v>481</v>
      </c>
      <c r="B24" s="401"/>
      <c r="C24" s="456"/>
      <c r="D24" s="401"/>
      <c r="E24" s="456"/>
      <c r="F24" s="401"/>
      <c r="G24" s="456"/>
      <c r="H24" s="562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</row>
    <row r="25" spans="1:179" ht="14.4" x14ac:dyDescent="0.3">
      <c r="A25" s="379" t="s">
        <v>553</v>
      </c>
      <c r="B25" s="395">
        <v>1306.059</v>
      </c>
      <c r="C25" s="356">
        <f t="shared" si="5"/>
        <v>13.02077637208707</v>
      </c>
      <c r="D25" s="395">
        <v>1486.645</v>
      </c>
      <c r="E25" s="356">
        <f t="shared" si="5"/>
        <v>13.694451455532608</v>
      </c>
      <c r="F25" s="395">
        <v>1576.874</v>
      </c>
      <c r="G25" s="356">
        <f t="shared" ref="G25" si="9">IF(F$26&lt;&gt;0,F25*100/F$26,0)</f>
        <v>14.316363531047793</v>
      </c>
      <c r="H25" s="47">
        <f t="shared" si="3"/>
        <v>106.06930370061447</v>
      </c>
      <c r="I25" s="569" t="s">
        <v>491</v>
      </c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</row>
    <row r="26" spans="1:179" ht="15" thickBot="1" x14ac:dyDescent="0.35">
      <c r="A26" s="75" t="s">
        <v>555</v>
      </c>
      <c r="B26" s="386">
        <f t="shared" ref="B26:G26" si="10">SUM(B19:B25)</f>
        <v>10030.576999999999</v>
      </c>
      <c r="C26" s="457">
        <f t="shared" si="10"/>
        <v>100</v>
      </c>
      <c r="D26" s="386">
        <f t="shared" si="10"/>
        <v>10855.82</v>
      </c>
      <c r="E26" s="457">
        <f t="shared" si="10"/>
        <v>100</v>
      </c>
      <c r="F26" s="386">
        <f t="shared" si="10"/>
        <v>11014.486999999999</v>
      </c>
      <c r="G26" s="457">
        <f t="shared" si="10"/>
        <v>100.00000000000001</v>
      </c>
      <c r="H26" s="477">
        <f t="shared" si="3"/>
        <v>101.46158466149954</v>
      </c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</row>
  </sheetData>
  <mergeCells count="5">
    <mergeCell ref="D4:E4"/>
    <mergeCell ref="F4:G4"/>
    <mergeCell ref="A4:A5"/>
    <mergeCell ref="B4:C4"/>
    <mergeCell ref="H4:H5"/>
  </mergeCells>
  <pageMargins left="0.7" right="0.7" top="0.75" bottom="0.75" header="0.3" footer="0.3"/>
  <pageSetup paperSize="9" scale="98" orientation="landscape" r:id="rId1"/>
  <rowBreaks count="1" manualBreakCount="1">
    <brk id="2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FW14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29.44140625" customWidth="1"/>
    <col min="2" max="2" width="8.6640625" customWidth="1"/>
    <col min="3" max="3" width="6.6640625" customWidth="1"/>
    <col min="4" max="4" width="8.6640625"/>
    <col min="5" max="5" width="6.6640625" customWidth="1"/>
    <col min="6" max="6" width="8.6640625"/>
    <col min="7" max="7" width="6.6640625" customWidth="1"/>
    <col min="8" max="8" width="9.77734375" style="30" customWidth="1"/>
    <col min="10" max="14" width="5.77734375" customWidth="1"/>
  </cols>
  <sheetData>
    <row r="1" spans="1:179" hidden="1" x14ac:dyDescent="0.3"/>
    <row r="2" spans="1:179" x14ac:dyDescent="0.3">
      <c r="A2" s="17"/>
      <c r="B2" s="17"/>
      <c r="C2" s="17"/>
      <c r="D2" s="17"/>
      <c r="E2" s="17"/>
      <c r="F2" s="17"/>
      <c r="G2" s="17"/>
      <c r="H2" s="98"/>
    </row>
    <row r="3" spans="1:179" x14ac:dyDescent="0.3">
      <c r="A3" s="45" t="s">
        <v>258</v>
      </c>
      <c r="B3" s="45"/>
      <c r="C3" s="45"/>
      <c r="D3" s="45"/>
      <c r="E3" s="45"/>
      <c r="F3" s="45"/>
      <c r="G3" s="78"/>
      <c r="H3" s="64" t="s">
        <v>354</v>
      </c>
    </row>
    <row r="4" spans="1:179" ht="14.4" customHeight="1" x14ac:dyDescent="0.3">
      <c r="A4" s="728" t="s">
        <v>10</v>
      </c>
      <c r="B4" s="730" t="s">
        <v>610</v>
      </c>
      <c r="C4" s="732"/>
      <c r="D4" s="730" t="s">
        <v>617</v>
      </c>
      <c r="E4" s="732"/>
      <c r="F4" s="730" t="s">
        <v>619</v>
      </c>
      <c r="G4" s="732"/>
      <c r="H4" s="744" t="str">
        <f>IF(LEN(F4)&gt;5,"Индекс " &amp; MID(F4,1,2) &amp; "-" &amp; MID(F4,4,5) &amp; "/" &amp; D4,"Индекс " &amp; F4 &amp; "/" &amp; D4)</f>
        <v>Индекс 03-2025./2024.</v>
      </c>
    </row>
    <row r="5" spans="1:179" ht="14.1" customHeight="1" x14ac:dyDescent="0.3">
      <c r="A5" s="729"/>
      <c r="B5" s="50" t="s">
        <v>2</v>
      </c>
      <c r="C5" s="79" t="s">
        <v>3</v>
      </c>
      <c r="D5" s="50" t="s">
        <v>2</v>
      </c>
      <c r="E5" s="79" t="s">
        <v>3</v>
      </c>
      <c r="F5" s="50" t="s">
        <v>2</v>
      </c>
      <c r="G5" s="79" t="s">
        <v>3</v>
      </c>
      <c r="H5" s="738"/>
    </row>
    <row r="6" spans="1:179" x14ac:dyDescent="0.3">
      <c r="A6" s="52" t="s">
        <v>446</v>
      </c>
      <c r="B6" s="53">
        <v>861.40499999999997</v>
      </c>
      <c r="C6" s="354">
        <f>IF($B$14&lt;&gt;0,B6*100/$B$14,0)</f>
        <v>11.129109713857961</v>
      </c>
      <c r="D6" s="53">
        <v>669.68799999999999</v>
      </c>
      <c r="E6" s="354">
        <f>IF($D$14&lt;&gt;0,D6*100/$D$14,0)</f>
        <v>8.0162074651297122</v>
      </c>
      <c r="F6" s="53">
        <v>753.48099999999999</v>
      </c>
      <c r="G6" s="354">
        <f>IF($F$14&lt;&gt;0,F6*100/$F$14,0)</f>
        <v>8.9163503363211465</v>
      </c>
      <c r="H6" s="47">
        <f>IF(D6&lt;&gt;0,F6/D6*100,"-")</f>
        <v>112.51224450789023</v>
      </c>
    </row>
    <row r="7" spans="1:179" x14ac:dyDescent="0.3">
      <c r="A7" s="52" t="s">
        <v>359</v>
      </c>
      <c r="B7" s="53">
        <v>311.923</v>
      </c>
      <c r="C7" s="354">
        <f>IF($B$14&lt;&gt;0,B7*100/$B$14,0)</f>
        <v>4.0299572086018962</v>
      </c>
      <c r="D7" s="53">
        <v>261.435</v>
      </c>
      <c r="E7" s="354">
        <f t="shared" ref="E7:E13" si="0">IF($D$14&lt;&gt;0,D7*100/$D$14,0)</f>
        <v>3.1293933871387662</v>
      </c>
      <c r="F7" s="53">
        <v>326.637</v>
      </c>
      <c r="G7" s="354">
        <f t="shared" ref="G7:G13" si="1">IF($F$14&lt;&gt;0,F7*100/$F$14,0)</f>
        <v>3.8652732116734594</v>
      </c>
      <c r="H7" s="47">
        <f t="shared" ref="H7:H14" si="2">IF(D7&lt;&gt;0,F7/D7*100,"-")</f>
        <v>124.94004245797234</v>
      </c>
    </row>
    <row r="8" spans="1:179" x14ac:dyDescent="0.3">
      <c r="A8" s="52" t="s">
        <v>360</v>
      </c>
      <c r="B8" s="53">
        <v>1426.723</v>
      </c>
      <c r="C8" s="354">
        <f t="shared" ref="C8:C13" si="3">IF($B$14&lt;&gt;0,B8*100/$B$14,0)</f>
        <v>18.432858873914789</v>
      </c>
      <c r="D8" s="53">
        <v>1674.501</v>
      </c>
      <c r="E8" s="354">
        <f t="shared" si="0"/>
        <v>20.043882250491524</v>
      </c>
      <c r="F8" s="53">
        <v>1591.242</v>
      </c>
      <c r="G8" s="354">
        <f t="shared" si="1"/>
        <v>18.830031735197476</v>
      </c>
      <c r="H8" s="47">
        <f t="shared" si="2"/>
        <v>95.027832172091863</v>
      </c>
    </row>
    <row r="9" spans="1:179" x14ac:dyDescent="0.3">
      <c r="A9" s="52" t="s">
        <v>361</v>
      </c>
      <c r="B9" s="53">
        <v>149.23699999999999</v>
      </c>
      <c r="C9" s="354">
        <f t="shared" si="3"/>
        <v>1.9280999603752247</v>
      </c>
      <c r="D9" s="53">
        <v>171.405</v>
      </c>
      <c r="E9" s="354">
        <f t="shared" si="0"/>
        <v>2.051728626704612</v>
      </c>
      <c r="F9" s="53">
        <v>182.417</v>
      </c>
      <c r="G9" s="354">
        <f t="shared" si="1"/>
        <v>2.1586395400822243</v>
      </c>
      <c r="H9" s="47">
        <f t="shared" si="2"/>
        <v>106.42455004229747</v>
      </c>
    </row>
    <row r="10" spans="1:179" x14ac:dyDescent="0.3">
      <c r="A10" s="52" t="s">
        <v>362</v>
      </c>
      <c r="B10" s="53">
        <v>131.697</v>
      </c>
      <c r="C10" s="354">
        <f t="shared" si="3"/>
        <v>1.7014881060429785</v>
      </c>
      <c r="D10" s="53">
        <v>218.084</v>
      </c>
      <c r="E10" s="354">
        <f t="shared" si="0"/>
        <v>2.6104791915419541</v>
      </c>
      <c r="F10" s="53">
        <v>187.66300000000001</v>
      </c>
      <c r="G10" s="354">
        <f t="shared" si="1"/>
        <v>2.2207183103024963</v>
      </c>
      <c r="H10" s="47">
        <f t="shared" si="2"/>
        <v>86.05078776985016</v>
      </c>
    </row>
    <row r="11" spans="1:179" x14ac:dyDescent="0.3">
      <c r="A11" s="52" t="s">
        <v>363</v>
      </c>
      <c r="B11" s="53">
        <v>265.66300000000001</v>
      </c>
      <c r="C11" s="354">
        <f t="shared" si="3"/>
        <v>3.4322910523071584</v>
      </c>
      <c r="D11" s="53">
        <v>286.59500000000003</v>
      </c>
      <c r="E11" s="354">
        <f t="shared" si="0"/>
        <v>3.4305601690172884</v>
      </c>
      <c r="F11" s="53">
        <v>278.5</v>
      </c>
      <c r="G11" s="354">
        <f t="shared" si="1"/>
        <v>3.2956419188611776</v>
      </c>
      <c r="H11" s="47">
        <f t="shared" si="2"/>
        <v>97.175456654861378</v>
      </c>
    </row>
    <row r="12" spans="1:179" x14ac:dyDescent="0.3">
      <c r="A12" s="52" t="s">
        <v>448</v>
      </c>
      <c r="B12" s="53">
        <v>4587.915</v>
      </c>
      <c r="C12" s="354">
        <f t="shared" si="3"/>
        <v>59.27456816811447</v>
      </c>
      <c r="D12" s="53">
        <v>5066.857</v>
      </c>
      <c r="E12" s="354">
        <f t="shared" si="0"/>
        <v>60.650596857259998</v>
      </c>
      <c r="F12" s="53">
        <v>5123.9009999999998</v>
      </c>
      <c r="G12" s="354">
        <f t="shared" si="1"/>
        <v>60.63390636874221</v>
      </c>
      <c r="H12" s="47">
        <f t="shared" si="2"/>
        <v>101.1258261285053</v>
      </c>
    </row>
    <row r="13" spans="1:179" x14ac:dyDescent="0.3">
      <c r="A13" s="52" t="s">
        <v>150</v>
      </c>
      <c r="B13" s="53">
        <v>5.5439999999999996</v>
      </c>
      <c r="C13" s="354">
        <f t="shared" si="3"/>
        <v>7.1626916785517303E-2</v>
      </c>
      <c r="D13" s="53">
        <v>5.61</v>
      </c>
      <c r="E13" s="354">
        <f t="shared" si="0"/>
        <v>6.7152052716156901E-2</v>
      </c>
      <c r="F13" s="53">
        <v>6.7130000000000001</v>
      </c>
      <c r="G13" s="354">
        <f t="shared" si="1"/>
        <v>7.9438578819802819E-2</v>
      </c>
      <c r="H13" s="47">
        <f t="shared" si="2"/>
        <v>119.66131907308377</v>
      </c>
    </row>
    <row r="14" spans="1:179" s="2" customFormat="1" ht="15" thickBot="1" x14ac:dyDescent="0.35">
      <c r="A14" s="80" t="s">
        <v>30</v>
      </c>
      <c r="B14" s="81">
        <f>SUM(B6:B13)</f>
        <v>7740.107</v>
      </c>
      <c r="C14" s="355">
        <f t="shared" ref="C14:G14" si="4">SUM(C6:C13)</f>
        <v>100</v>
      </c>
      <c r="D14" s="81">
        <f>SUM(D6:D13)</f>
        <v>8354.1749999999993</v>
      </c>
      <c r="E14" s="355">
        <f t="shared" si="4"/>
        <v>100</v>
      </c>
      <c r="F14" s="81">
        <f>SUM(F6:F13)</f>
        <v>8450.5540000000001</v>
      </c>
      <c r="G14" s="355">
        <f t="shared" si="4"/>
        <v>100</v>
      </c>
      <c r="H14" s="82">
        <f t="shared" si="2"/>
        <v>101.15366268961327</v>
      </c>
      <c r="I14"/>
      <c r="J14"/>
      <c r="K14"/>
      <c r="L14"/>
      <c r="M14"/>
      <c r="N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</sheetData>
  <customSheetViews>
    <customSheetView guid="{5507C501-9942-4310-9E0E-987180BD1180}">
      <selection activeCell="B4" sqref="B4"/>
      <pageMargins left="0.7" right="0.7" top="0.75" bottom="0.75" header="0.3" footer="0.3"/>
    </customSheetView>
    <customSheetView guid="{54A0E5BB-5A66-4415-88CA-030F3BDE4337}">
      <selection activeCell="L9" sqref="L9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D14 F14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FT8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0.5546875" customWidth="1"/>
    <col min="2" max="2" width="8.6640625"/>
    <col min="3" max="3" width="5.6640625" customWidth="1"/>
    <col min="4" max="4" width="8.6640625"/>
    <col min="5" max="5" width="5.6640625" customWidth="1"/>
    <col min="6" max="6" width="8.6640625"/>
    <col min="7" max="7" width="5.6640625" customWidth="1"/>
    <col min="8" max="8" width="9.77734375" style="30" customWidth="1"/>
    <col min="10" max="14" width="5.77734375" customWidth="1"/>
  </cols>
  <sheetData>
    <row r="1" spans="1:176" hidden="1" x14ac:dyDescent="0.3"/>
    <row r="2" spans="1:176" x14ac:dyDescent="0.3">
      <c r="A2" s="87"/>
    </row>
    <row r="3" spans="1:176" x14ac:dyDescent="0.3">
      <c r="A3" s="83" t="s">
        <v>259</v>
      </c>
      <c r="B3" s="84"/>
      <c r="C3" s="84"/>
      <c r="D3" s="84"/>
      <c r="E3" s="84"/>
      <c r="F3" s="84"/>
      <c r="G3" s="84"/>
      <c r="H3" s="64" t="s">
        <v>354</v>
      </c>
    </row>
    <row r="4" spans="1:176" x14ac:dyDescent="0.3">
      <c r="A4" s="728" t="s">
        <v>10</v>
      </c>
      <c r="B4" s="739" t="s">
        <v>610</v>
      </c>
      <c r="C4" s="740"/>
      <c r="D4" s="739" t="s">
        <v>617</v>
      </c>
      <c r="E4" s="740"/>
      <c r="F4" s="739" t="s">
        <v>619</v>
      </c>
      <c r="G4" s="740"/>
      <c r="H4" s="744" t="str">
        <f>IF(LEN(F4)&gt;5,"Индекс " &amp; MID(F4,1,2) &amp; "-" &amp; MID(F4,4,5) &amp; "/" &amp; D4,"Индекс " &amp; F4 &amp; "/" &amp; D4)</f>
        <v>Индекс 03-2025./2024.</v>
      </c>
    </row>
    <row r="5" spans="1:176" ht="14.1" customHeight="1" x14ac:dyDescent="0.3">
      <c r="A5" s="741"/>
      <c r="B5" s="72" t="s">
        <v>2</v>
      </c>
      <c r="C5" s="73" t="s">
        <v>3</v>
      </c>
      <c r="D5" s="72" t="s">
        <v>2</v>
      </c>
      <c r="E5" s="73" t="s">
        <v>3</v>
      </c>
      <c r="F5" s="72" t="s">
        <v>2</v>
      </c>
      <c r="G5" s="85" t="s">
        <v>3</v>
      </c>
      <c r="H5" s="738"/>
    </row>
    <row r="6" spans="1:176" ht="15" customHeight="1" x14ac:dyDescent="0.3">
      <c r="A6" s="52" t="s">
        <v>15</v>
      </c>
      <c r="B6" s="74">
        <v>5320.3860000000004</v>
      </c>
      <c r="C6" s="356">
        <f>IF($B$8&lt;&gt;0,ROUND(B6*100/$B$8,1),0)</f>
        <v>68.7</v>
      </c>
      <c r="D6" s="74">
        <v>5857.5439999999999</v>
      </c>
      <c r="E6" s="356">
        <f>IF($D$8&lt;&gt;0,ROUND(D6*100/$D$8,1),0)</f>
        <v>70.099999999999994</v>
      </c>
      <c r="F6" s="74">
        <v>5928.8720000000003</v>
      </c>
      <c r="G6" s="358">
        <f>IF($F$8&lt;&gt;0,ROUND(F6*100/$F$8,1),0)</f>
        <v>70.2</v>
      </c>
      <c r="H6" s="560">
        <f>IF(D6&lt;&gt;0,F6/D6*100,"-")</f>
        <v>101.21771172354829</v>
      </c>
    </row>
    <row r="7" spans="1:176" ht="15" customHeight="1" x14ac:dyDescent="0.3">
      <c r="A7" s="52" t="s">
        <v>603</v>
      </c>
      <c r="B7" s="74">
        <v>2419.721</v>
      </c>
      <c r="C7" s="356">
        <f>IF($B$8&lt;&gt;0,ROUND(B7*100/$B$8,1),0)</f>
        <v>31.3</v>
      </c>
      <c r="D7" s="74">
        <v>2496.6309999999999</v>
      </c>
      <c r="E7" s="356">
        <f>IF($D$8&lt;&gt;0,ROUND(D7*100/$D$8,1),0)</f>
        <v>29.9</v>
      </c>
      <c r="F7" s="74">
        <v>2521.6819999999998</v>
      </c>
      <c r="G7" s="358">
        <f>IF($F$8&lt;&gt;0,ROUND(F7*100/$F$8,1),0)</f>
        <v>29.8</v>
      </c>
      <c r="H7" s="560">
        <f>IF(D7&lt;&gt;0,F7/D7*100,"-")</f>
        <v>101.00339217129002</v>
      </c>
    </row>
    <row r="8" spans="1:176" s="2" customFormat="1" ht="15" customHeight="1" thickBot="1" x14ac:dyDescent="0.35">
      <c r="A8" s="75" t="s">
        <v>30</v>
      </c>
      <c r="B8" s="86">
        <f t="shared" ref="B8:G8" si="0">SUM(B6:B7)</f>
        <v>7740.107</v>
      </c>
      <c r="C8" s="357">
        <f t="shared" si="0"/>
        <v>100</v>
      </c>
      <c r="D8" s="86">
        <f t="shared" si="0"/>
        <v>8354.1749999999993</v>
      </c>
      <c r="E8" s="357">
        <f t="shared" si="0"/>
        <v>100</v>
      </c>
      <c r="F8" s="86">
        <f t="shared" si="0"/>
        <v>8450.5540000000001</v>
      </c>
      <c r="G8" s="359">
        <f t="shared" si="0"/>
        <v>100</v>
      </c>
      <c r="H8" s="561">
        <f t="shared" ref="H8" si="1">IF(D8&lt;&gt;0,F8/D8*100,"")</f>
        <v>101.15366268961327</v>
      </c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</row>
  </sheetData>
  <customSheetViews>
    <customSheetView guid="{5507C501-9942-4310-9E0E-987180BD1180}">
      <selection activeCell="H12" sqref="H12"/>
      <pageMargins left="0.7" right="0.7" top="0.75" bottom="0.75" header="0.3" footer="0.3"/>
    </customSheetView>
    <customSheetView guid="{54A0E5BB-5A66-4415-88CA-030F3BDE4337}">
      <selection activeCell="A9" sqref="A9:XFD9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B8 D8 F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FW13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28.6640625" customWidth="1"/>
    <col min="2" max="2" width="9.5546875" customWidth="1"/>
    <col min="3" max="3" width="6.6640625" customWidth="1"/>
    <col min="4" max="4" width="9.5546875" customWidth="1"/>
    <col min="5" max="5" width="6.6640625" customWidth="1"/>
    <col min="6" max="6" width="9.5546875" customWidth="1"/>
    <col min="7" max="7" width="6.6640625" customWidth="1"/>
    <col min="8" max="8" width="9.77734375" style="557" customWidth="1"/>
    <col min="10" max="14" width="5.77734375" customWidth="1"/>
  </cols>
  <sheetData>
    <row r="1" spans="1:179" hidden="1" x14ac:dyDescent="0.3"/>
    <row r="2" spans="1:179" x14ac:dyDescent="0.3">
      <c r="B2" s="17"/>
      <c r="C2" s="17"/>
      <c r="D2" s="17"/>
      <c r="E2" s="17"/>
      <c r="F2" s="17"/>
      <c r="G2" s="17"/>
    </row>
    <row r="3" spans="1:179" x14ac:dyDescent="0.3">
      <c r="A3" s="45" t="s">
        <v>260</v>
      </c>
      <c r="B3" s="45"/>
      <c r="C3" s="45"/>
      <c r="D3" s="45"/>
      <c r="E3" s="45"/>
      <c r="F3" s="45"/>
      <c r="G3" s="88"/>
      <c r="H3" s="64" t="s">
        <v>354</v>
      </c>
    </row>
    <row r="4" spans="1:179" x14ac:dyDescent="0.3">
      <c r="A4" s="728" t="s">
        <v>10</v>
      </c>
      <c r="B4" s="730" t="s">
        <v>610</v>
      </c>
      <c r="C4" s="732"/>
      <c r="D4" s="730" t="s">
        <v>617</v>
      </c>
      <c r="E4" s="732"/>
      <c r="F4" s="730" t="s">
        <v>619</v>
      </c>
      <c r="G4" s="732"/>
      <c r="H4" s="744" t="str">
        <f>IF(LEN(F4)&gt;5,"Индекс " &amp; MID(F4,1,2) &amp; "-" &amp; MID(F4,4,5) &amp; "/" &amp; D4,"Индекс " &amp; F4 &amp; "/" &amp; D4)</f>
        <v>Индекс 03-2025./2024.</v>
      </c>
    </row>
    <row r="5" spans="1:179" ht="12" customHeight="1" x14ac:dyDescent="0.3">
      <c r="A5" s="729"/>
      <c r="B5" s="148" t="s">
        <v>2</v>
      </c>
      <c r="C5" s="149" t="s">
        <v>3</v>
      </c>
      <c r="D5" s="148" t="s">
        <v>2</v>
      </c>
      <c r="E5" s="149" t="s">
        <v>3</v>
      </c>
      <c r="F5" s="148" t="s">
        <v>2</v>
      </c>
      <c r="G5" s="149" t="s">
        <v>3</v>
      </c>
      <c r="H5" s="738"/>
    </row>
    <row r="6" spans="1:179" ht="15" customHeight="1" x14ac:dyDescent="0.3">
      <c r="A6" s="91" t="s">
        <v>567</v>
      </c>
      <c r="B6" s="92">
        <f t="shared" ref="B6:G6" si="0">SUM(B7:B9)</f>
        <v>5338.8799999999992</v>
      </c>
      <c r="C6" s="93">
        <f t="shared" si="0"/>
        <v>68.97682422219745</v>
      </c>
      <c r="D6" s="92">
        <f t="shared" si="0"/>
        <v>5854.741</v>
      </c>
      <c r="E6" s="93">
        <f t="shared" si="0"/>
        <v>70.08161787369788</v>
      </c>
      <c r="F6" s="92">
        <f t="shared" si="0"/>
        <v>5875.1559999999999</v>
      </c>
      <c r="G6" s="93">
        <f t="shared" si="0"/>
        <v>69.523915236799851</v>
      </c>
      <c r="H6" s="103">
        <f>IF(D6&lt;&gt;0,F6/D6*100,"-")</f>
        <v>100.34869176962738</v>
      </c>
    </row>
    <row r="7" spans="1:179" ht="15" customHeight="1" x14ac:dyDescent="0.3">
      <c r="A7" s="52" t="s">
        <v>569</v>
      </c>
      <c r="B7" s="53">
        <v>5123.8829999999998</v>
      </c>
      <c r="C7" s="90">
        <f>IF($B$13&lt;&gt;0,B7*100/$B$13,0)</f>
        <v>66.199123603846829</v>
      </c>
      <c r="D7" s="53">
        <v>5507.5609999999997</v>
      </c>
      <c r="E7" s="90">
        <f>IF($D$13&lt;&gt;0,D7*100/$D$13,0)</f>
        <v>65.925851445534718</v>
      </c>
      <c r="F7" s="53">
        <v>5547.3519999999999</v>
      </c>
      <c r="G7" s="90">
        <f>IF($F$13&lt;&gt;0,F7*100/$F$13,0)</f>
        <v>65.644832279635153</v>
      </c>
      <c r="H7" s="103">
        <f t="shared" ref="H7:H13" si="1">IF(D7&lt;&gt;0,F7/D7*100,"-")</f>
        <v>100.7224795149795</v>
      </c>
    </row>
    <row r="8" spans="1:179" ht="15" customHeight="1" x14ac:dyDescent="0.3">
      <c r="A8" s="52" t="s">
        <v>570</v>
      </c>
      <c r="B8" s="53">
        <v>8.4580000000000002</v>
      </c>
      <c r="C8" s="90">
        <f>IF($B$13&lt;&gt;0,B8*100/$B$13,0)</f>
        <v>0.10927497513923259</v>
      </c>
      <c r="D8" s="53">
        <v>99.108000000000004</v>
      </c>
      <c r="E8" s="90">
        <f>IF($D$13&lt;&gt;0,D8*100/$D$13,0)</f>
        <v>1.1863289911930264</v>
      </c>
      <c r="F8" s="53">
        <v>75.153000000000006</v>
      </c>
      <c r="G8" s="90">
        <f>IF($F$13&lt;&gt;0,F8*100/$F$13,0)</f>
        <v>0.88932630925735756</v>
      </c>
      <c r="H8" s="103">
        <f t="shared" si="1"/>
        <v>75.829398232231497</v>
      </c>
    </row>
    <row r="9" spans="1:179" ht="15" customHeight="1" x14ac:dyDescent="0.3">
      <c r="A9" s="52" t="s">
        <v>571</v>
      </c>
      <c r="B9" s="53">
        <v>206.53899999999999</v>
      </c>
      <c r="C9" s="90">
        <f>IF($B$13&lt;&gt;0,B9*100/$B$13,0)</f>
        <v>2.6684256432113922</v>
      </c>
      <c r="D9" s="53">
        <v>248.072</v>
      </c>
      <c r="E9" s="90">
        <f>IF($D$13&lt;&gt;0,D9*100/$D$13,0)</f>
        <v>2.969437436970138</v>
      </c>
      <c r="F9" s="53">
        <v>252.65100000000001</v>
      </c>
      <c r="G9" s="90">
        <f>IF($F$13&lt;&gt;0,F9*100/$F$13,0)</f>
        <v>2.9897566479073445</v>
      </c>
      <c r="H9" s="47">
        <f t="shared" si="1"/>
        <v>101.84583508013803</v>
      </c>
    </row>
    <row r="10" spans="1:179" ht="15" customHeight="1" x14ac:dyDescent="0.3">
      <c r="A10" s="104" t="s">
        <v>568</v>
      </c>
      <c r="B10" s="315">
        <f t="shared" ref="B10:G10" si="2">SUM(B11:B12)</f>
        <v>2401.2269999999999</v>
      </c>
      <c r="C10" s="375">
        <f t="shared" si="2"/>
        <v>31.023175777802557</v>
      </c>
      <c r="D10" s="315">
        <f t="shared" si="2"/>
        <v>2499.4339999999997</v>
      </c>
      <c r="E10" s="375">
        <f t="shared" si="2"/>
        <v>29.91838212630212</v>
      </c>
      <c r="F10" s="315">
        <f t="shared" si="2"/>
        <v>2575.3980000000001</v>
      </c>
      <c r="G10" s="375">
        <f t="shared" si="2"/>
        <v>30.476084763200141</v>
      </c>
      <c r="H10" s="376">
        <f>IF(D10&lt;&gt;0,F10/D10*100,"-")</f>
        <v>103.03924808576663</v>
      </c>
    </row>
    <row r="11" spans="1:179" ht="15" customHeight="1" x14ac:dyDescent="0.3">
      <c r="A11" s="52" t="s">
        <v>572</v>
      </c>
      <c r="B11" s="53">
        <v>2168.6379999999999</v>
      </c>
      <c r="C11" s="90">
        <f>IF($B$13&lt;&gt;0,B11*100/$B$13,0)</f>
        <v>28.018191479781869</v>
      </c>
      <c r="D11" s="53">
        <v>2287.6869999999999</v>
      </c>
      <c r="E11" s="90">
        <f>IF($D$13&lt;&gt;0,D11*100/$D$13,0)</f>
        <v>27.383757223184816</v>
      </c>
      <c r="F11" s="53">
        <v>2367.8760000000002</v>
      </c>
      <c r="G11" s="90">
        <f>IF($F$13&lt;&gt;0,F11*100/$F$13,0)</f>
        <v>28.020364108672641</v>
      </c>
      <c r="H11" s="47">
        <f t="shared" si="1"/>
        <v>103.50524350577682</v>
      </c>
    </row>
    <row r="12" spans="1:179" ht="15" customHeight="1" x14ac:dyDescent="0.3">
      <c r="A12" s="52" t="s">
        <v>573</v>
      </c>
      <c r="B12" s="53">
        <v>232.589</v>
      </c>
      <c r="C12" s="90">
        <f>IF($B$13&lt;&gt;0,B12*100/$B$13,0)</f>
        <v>3.0049842980206867</v>
      </c>
      <c r="D12" s="53">
        <v>211.74700000000001</v>
      </c>
      <c r="E12" s="90">
        <f>IF($D$13&lt;&gt;0,D12*100/$D$13,0)</f>
        <v>2.534624903117304</v>
      </c>
      <c r="F12" s="53">
        <v>207.52199999999999</v>
      </c>
      <c r="G12" s="90">
        <f>IF($F$13&lt;&gt;0,F12*100/$F$13,0)</f>
        <v>2.4557206545275019</v>
      </c>
      <c r="H12" s="47">
        <f t="shared" si="1"/>
        <v>98.004694281382967</v>
      </c>
    </row>
    <row r="13" spans="1:179" s="2" customFormat="1" ht="15" customHeight="1" thickBot="1" x14ac:dyDescent="0.35">
      <c r="A13" s="80" t="s">
        <v>574</v>
      </c>
      <c r="B13" s="81">
        <f t="shared" ref="B13:G13" si="3">B6+B10</f>
        <v>7740.1069999999991</v>
      </c>
      <c r="C13" s="96">
        <f t="shared" si="3"/>
        <v>100</v>
      </c>
      <c r="D13" s="81">
        <f t="shared" si="3"/>
        <v>8354.1749999999993</v>
      </c>
      <c r="E13" s="96">
        <f t="shared" si="3"/>
        <v>100</v>
      </c>
      <c r="F13" s="81">
        <f t="shared" si="3"/>
        <v>8450.5540000000001</v>
      </c>
      <c r="G13" s="96">
        <f t="shared" si="3"/>
        <v>100</v>
      </c>
      <c r="H13" s="97">
        <f t="shared" si="1"/>
        <v>101.15366268961327</v>
      </c>
      <c r="I13"/>
      <c r="J13"/>
      <c r="K13"/>
      <c r="L13"/>
      <c r="M13"/>
      <c r="N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</sheetData>
  <customSheetViews>
    <customSheetView guid="{5507C501-9942-4310-9E0E-987180BD1180}">
      <selection activeCell="B6" sqref="B6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28" sqref="A28"/>
      <pageMargins left="0.7" right="0.7" top="0.75" bottom="0.75" header="0.3" footer="0.3"/>
      <pageSetup paperSize="9" orientation="portrait" verticalDpi="0" r:id="rId2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paperSize="9" orientation="portrait" verticalDpi="0" r:id="rId3"/>
  <ignoredErrors>
    <ignoredError sqref="C10:G10 C13:G13 C11 E11 C12 E12 G11 G12" 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41</vt:i4>
      </vt:variant>
    </vt:vector>
  </HeadingPairs>
  <TitlesOfParts>
    <vt:vector size="81" baseType="lpstr">
      <vt:lpstr>Info</vt:lpstr>
      <vt:lpstr>Tabele</vt:lpstr>
      <vt:lpstr>Tab 0</vt:lpstr>
      <vt:lpstr>Tab 1</vt:lpstr>
      <vt:lpstr>Tab 2</vt:lpstr>
      <vt:lpstr>Tab 3</vt:lpstr>
      <vt:lpstr>Tab 4</vt:lpstr>
      <vt:lpstr>Tab 5</vt:lpstr>
      <vt:lpstr>Tab 6</vt:lpstr>
      <vt:lpstr>Tab 7</vt:lpstr>
      <vt:lpstr>Tab 8</vt:lpstr>
      <vt:lpstr>Tab 9</vt:lpstr>
      <vt:lpstr>Tab 10</vt:lpstr>
      <vt:lpstr>Tab 11</vt:lpstr>
      <vt:lpstr>Tab 12</vt:lpstr>
      <vt:lpstr>Tab 13</vt:lpstr>
      <vt:lpstr>Tab 14</vt:lpstr>
      <vt:lpstr>Tab 15</vt:lpstr>
      <vt:lpstr>Tab 16</vt:lpstr>
      <vt:lpstr>Tab 17</vt:lpstr>
      <vt:lpstr>Tab 18</vt:lpstr>
      <vt:lpstr>Tab 19</vt:lpstr>
      <vt:lpstr>Tab 20</vt:lpstr>
      <vt:lpstr>Tab 21</vt:lpstr>
      <vt:lpstr>Tab 22</vt:lpstr>
      <vt:lpstr>Tab 23</vt:lpstr>
      <vt:lpstr>Tab 24</vt:lpstr>
      <vt:lpstr>Tab 25</vt:lpstr>
      <vt:lpstr>Tab 26</vt:lpstr>
      <vt:lpstr>Tab 27</vt:lpstr>
      <vt:lpstr>Tab 28</vt:lpstr>
      <vt:lpstr>Tab 29</vt:lpstr>
      <vt:lpstr>Tab 30</vt:lpstr>
      <vt:lpstr>Tab 31</vt:lpstr>
      <vt:lpstr>Tab 32</vt:lpstr>
      <vt:lpstr>Tab 33</vt:lpstr>
      <vt:lpstr>Tab 34</vt:lpstr>
      <vt:lpstr>Pr 1</vt:lpstr>
      <vt:lpstr>Pr 2</vt:lpstr>
      <vt:lpstr>Pr 3</vt:lpstr>
      <vt:lpstr>'Tab 33'!_ftn2</vt:lpstr>
      <vt:lpstr>'Tab 33'!_ftn3</vt:lpstr>
      <vt:lpstr>'Pr 1'!Print_Area</vt:lpstr>
      <vt:lpstr>'Pr 2'!Print_Area</vt:lpstr>
      <vt:lpstr>'Pr 3'!Print_Area</vt:lpstr>
      <vt:lpstr>'Tab 0'!Print_Area</vt:lpstr>
      <vt:lpstr>'Tab 1'!Print_Area</vt:lpstr>
      <vt:lpstr>'Tab 10'!Print_Area</vt:lpstr>
      <vt:lpstr>'Tab 11'!Print_Area</vt:lpstr>
      <vt:lpstr>'Tab 12'!Print_Area</vt:lpstr>
      <vt:lpstr>'Tab 13'!Print_Area</vt:lpstr>
      <vt:lpstr>'Tab 14'!Print_Area</vt:lpstr>
      <vt:lpstr>'Tab 15'!Print_Area</vt:lpstr>
      <vt:lpstr>'Tab 16'!Print_Area</vt:lpstr>
      <vt:lpstr>'Tab 17'!Print_Area</vt:lpstr>
      <vt:lpstr>'Tab 18'!Print_Area</vt:lpstr>
      <vt:lpstr>'Tab 19'!Print_Area</vt:lpstr>
      <vt:lpstr>'Tab 2'!Print_Area</vt:lpstr>
      <vt:lpstr>'Tab 20'!Print_Area</vt:lpstr>
      <vt:lpstr>'Tab 21'!Print_Area</vt:lpstr>
      <vt:lpstr>'Tab 22'!Print_Area</vt:lpstr>
      <vt:lpstr>'Tab 23'!Print_Area</vt:lpstr>
      <vt:lpstr>'Tab 24'!Print_Area</vt:lpstr>
      <vt:lpstr>'Tab 25'!Print_Area</vt:lpstr>
      <vt:lpstr>'Tab 26'!Print_Area</vt:lpstr>
      <vt:lpstr>'Tab 27'!Print_Area</vt:lpstr>
      <vt:lpstr>'Tab 28'!Print_Area</vt:lpstr>
      <vt:lpstr>'Tab 29'!Print_Area</vt:lpstr>
      <vt:lpstr>'Tab 3'!Print_Area</vt:lpstr>
      <vt:lpstr>'Tab 30'!Print_Area</vt:lpstr>
      <vt:lpstr>'Tab 31'!Print_Area</vt:lpstr>
      <vt:lpstr>'Tab 32'!Print_Area</vt:lpstr>
      <vt:lpstr>'Tab 33'!Print_Area</vt:lpstr>
      <vt:lpstr>'Tab 34'!Print_Area</vt:lpstr>
      <vt:lpstr>'Tab 4'!Print_Area</vt:lpstr>
      <vt:lpstr>'Tab 5'!Print_Area</vt:lpstr>
      <vt:lpstr>'Tab 6'!Print_Area</vt:lpstr>
      <vt:lpstr>'Tab 7'!Print_Area</vt:lpstr>
      <vt:lpstr>'Tab 8'!Print_Area</vt:lpstr>
      <vt:lpstr>'Tab 9'!Print_Area</vt:lpstr>
      <vt:lpstr>Tabele!Print_Area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Vasilić</dc:creator>
  <cp:lastModifiedBy>Aleksandra Vasilić</cp:lastModifiedBy>
  <cp:lastPrinted>2022-03-28T08:02:25Z</cp:lastPrinted>
  <dcterms:created xsi:type="dcterms:W3CDTF">2019-07-26T12:02:38Z</dcterms:created>
  <dcterms:modified xsi:type="dcterms:W3CDTF">2025-05-20T07:09:00Z</dcterms:modified>
</cp:coreProperties>
</file>