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fs01\IKT\WEB_ABRS\17 Za objavu\Final\2025\"/>
    </mc:Choice>
  </mc:AlternateContent>
  <xr:revisionPtr revIDLastSave="0" documentId="13_ncr:1_{626E34BC-09AE-4BEB-89CB-F94335251BA2}" xr6:coauthVersionLast="47" xr6:coauthVersionMax="47" xr10:uidLastSave="{00000000-0000-0000-0000-000000000000}"/>
  <bookViews>
    <workbookView xWindow="-108" yWindow="-108" windowWidth="30936" windowHeight="16776" tabRatio="911" firstSheet="1" activeTab="1" xr2:uid="{00000000-000D-0000-FFFF-FFFF00000000}"/>
  </bookViews>
  <sheets>
    <sheet name="CRPst" sheetId="161" state="hidden" r:id="rId1"/>
    <sheet name="Info" sheetId="179" r:id="rId2"/>
    <sheet name="Tabele" sheetId="1" r:id="rId3"/>
    <sheet name="Tab 0" sheetId="178" r:id="rId4"/>
    <sheet name="Tab 1" sheetId="5" r:id="rId5"/>
    <sheet name="Tab 2" sheetId="6" r:id="rId6"/>
    <sheet name="Tab 3" sheetId="259" r:id="rId7"/>
    <sheet name="Tab 4" sheetId="11" r:id="rId8"/>
    <sheet name="Tab 5" sheetId="12" r:id="rId9"/>
    <sheet name="Tab 6" sheetId="13" r:id="rId10"/>
    <sheet name="Tab 7" sheetId="14" r:id="rId11"/>
    <sheet name="Tab 8" sheetId="15" r:id="rId12"/>
    <sheet name="Tab 9" sheetId="17" r:id="rId13"/>
    <sheet name="Tab 10" sheetId="18" r:id="rId14"/>
    <sheet name="Tab 11" sheetId="19" r:id="rId15"/>
    <sheet name="Tab 12" sheetId="22" r:id="rId16"/>
    <sheet name="Tab 13" sheetId="24" r:id="rId17"/>
    <sheet name="Tab 14" sheetId="25" r:id="rId18"/>
    <sheet name="Tab 15" sheetId="26" r:id="rId19"/>
    <sheet name="Tab 16" sheetId="29" r:id="rId20"/>
    <sheet name="Tab 17" sheetId="118" r:id="rId21"/>
    <sheet name="Tab 18" sheetId="288" r:id="rId22"/>
    <sheet name="Tab 19" sheetId="35" r:id="rId23"/>
    <sheet name="Tab 20" sheetId="138" r:id="rId24"/>
    <sheet name="Tab 21" sheetId="139" r:id="rId25"/>
    <sheet name="Tab 22" sheetId="140" r:id="rId26"/>
    <sheet name="Tab 23" sheetId="43" r:id="rId27"/>
    <sheet name="Tab 24" sheetId="44" r:id="rId28"/>
    <sheet name="Tab 25" sheetId="45" r:id="rId29"/>
    <sheet name="Tab 26" sheetId="30" r:id="rId30"/>
    <sheet name="Tab 38pom" sheetId="182" state="hidden" r:id="rId31"/>
    <sheet name="Tab 27" sheetId="31" r:id="rId32"/>
    <sheet name="Tab 28" sheetId="32" r:id="rId33"/>
    <sheet name="Tab 29" sheetId="33" r:id="rId34"/>
    <sheet name="Tab 30" sheetId="50" r:id="rId35"/>
    <sheet name="Tab 31" sheetId="291" r:id="rId36"/>
    <sheet name="Tab 32" sheetId="189" r:id="rId37"/>
    <sheet name="Tab 33" sheetId="185" r:id="rId38"/>
    <sheet name="Tab 34" sheetId="51" r:id="rId39"/>
    <sheet name="Pr 1" sheetId="55" r:id="rId40"/>
    <sheet name="Pr 2" sheetId="7" r:id="rId41"/>
    <sheet name="Pr 3" sheetId="134" r:id="rId42"/>
  </sheets>
  <definedNames>
    <definedName name="_ftn2" localSheetId="37">'Tab 33'!$A$11</definedName>
    <definedName name="_ftn3" localSheetId="37">'Tab 33'!$A$12</definedName>
    <definedName name="polja">#REF!</definedName>
    <definedName name="polja1">#REF!</definedName>
    <definedName name="_xlnm.Print_Area" localSheetId="39">'Pr 1'!$A$1:$J$13</definedName>
    <definedName name="_xlnm.Print_Area" localSheetId="40">'Pr 2'!$A$1:$H$48</definedName>
    <definedName name="_xlnm.Print_Area" localSheetId="41">'Pr 3'!$A$1:$K$31</definedName>
    <definedName name="_xlnm.Print_Area" localSheetId="3">'Tab 0'!$B$1:$F$12</definedName>
    <definedName name="_xlnm.Print_Area" localSheetId="4">'Tab 1'!$A$1:$I$6</definedName>
    <definedName name="_xlnm.Print_Area" localSheetId="13">'Tab 10'!$A$1:$H$26</definedName>
    <definedName name="_xlnm.Print_Area" localSheetId="14">'Tab 11'!$A$1:$H$14</definedName>
    <definedName name="_xlnm.Print_Area" localSheetId="15">'Tab 12'!$A$1:$J$14</definedName>
    <definedName name="_xlnm.Print_Area" localSheetId="16">'Tab 13'!$A$1:$N$20</definedName>
    <definedName name="_xlnm.Print_Area" localSheetId="17">'Tab 14'!$A$1:$N$16</definedName>
    <definedName name="_xlnm.Print_Area" localSheetId="18">'Tab 15'!$A$1:$N$15</definedName>
    <definedName name="_xlnm.Print_Area" localSheetId="19">'Tab 16'!$A$1:$G$10</definedName>
    <definedName name="_xlnm.Print_Area" localSheetId="20">'Tab 17'!$A$2:$F$10</definedName>
    <definedName name="_xlnm.Print_Area" localSheetId="21">'Tab 18'!$A$1:$F$23</definedName>
    <definedName name="_xlnm.Print_Area" localSheetId="22">'Tab 19'!$A$1:$F$18</definedName>
    <definedName name="_xlnm.Print_Area" localSheetId="5">'Tab 2'!$A$1:$D$6</definedName>
    <definedName name="_xlnm.Print_Area" localSheetId="23">'Tab 20'!$A$1:$J$22</definedName>
    <definedName name="_xlnm.Print_Area" localSheetId="24">'Tab 21'!$A$1:$J$19</definedName>
    <definedName name="_xlnm.Print_Area" localSheetId="25">'Tab 22'!$A$1:$J$18</definedName>
    <definedName name="_xlnm.Print_Area" localSheetId="26">'Tab 23'!$A$1:$I$21</definedName>
    <definedName name="_xlnm.Print_Area" localSheetId="27">'Tab 24'!$A$1:$I$10</definedName>
    <definedName name="_xlnm.Print_Area" localSheetId="28">'Tab 25'!$A$1:$I$13</definedName>
    <definedName name="_xlnm.Print_Area" localSheetId="29">'Tab 26'!$A$1:$F$26</definedName>
    <definedName name="_xlnm.Print_Area" localSheetId="31">'Tab 27'!$A$1:$E$8</definedName>
    <definedName name="_xlnm.Print_Area" localSheetId="32">'Tab 28'!$A$1:$F$13</definedName>
    <definedName name="_xlnm.Print_Area" localSheetId="33">'Tab 29'!$A$1:$E$14</definedName>
    <definedName name="_xlnm.Print_Area" localSheetId="6">'Tab 3'!$A$1:$H$27</definedName>
    <definedName name="_xlnm.Print_Area" localSheetId="34">'Tab 30'!$A$1:$F$6</definedName>
    <definedName name="_xlnm.Print_Area" localSheetId="35">'Tab 31'!$A$1:$F$6</definedName>
    <definedName name="_xlnm.Print_Area" localSheetId="36">'Tab 32'!$A$1:$I$16</definedName>
    <definedName name="_xlnm.Print_Area" localSheetId="37">'Tab 33'!$A$1:$D$9</definedName>
    <definedName name="_xlnm.Print_Area" localSheetId="38">'Tab 34'!$A$1:$I$18</definedName>
    <definedName name="_xlnm.Print_Area" localSheetId="30">'Tab 38pom'!$A$1:$F$35</definedName>
    <definedName name="_xlnm.Print_Area" localSheetId="7">'Tab 4'!$A$1:$H$14</definedName>
    <definedName name="_xlnm.Print_Area" localSheetId="8">'Tab 5'!$A$1:$H$8</definedName>
    <definedName name="_xlnm.Print_Area" localSheetId="9">'Tab 6'!$A$1:$H$13</definedName>
    <definedName name="_xlnm.Print_Area" localSheetId="10">'Tab 7'!$A$1:$E$12</definedName>
    <definedName name="_xlnm.Print_Area" localSheetId="11">'Tab 8'!$A$1:$N$20</definedName>
    <definedName name="_xlnm.Print_Area" localSheetId="12">'Tab 9'!$A$1:$H$15</definedName>
    <definedName name="_xlnm.Print_Area" localSheetId="2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F6" i="50"/>
  <c r="H3" i="7" l="1"/>
  <c r="F3" i="288"/>
  <c r="C5" i="33"/>
  <c r="F3" i="32"/>
  <c r="N3" i="45"/>
  <c r="H4" i="18"/>
  <c r="H4" i="13"/>
  <c r="C4" i="185"/>
  <c r="I4" i="189"/>
  <c r="H4" i="189"/>
  <c r="E4" i="33" l="1"/>
  <c r="E4" i="31"/>
  <c r="D9" i="30"/>
  <c r="E9" i="30"/>
  <c r="C9" i="30"/>
  <c r="F3" i="30"/>
  <c r="N8" i="45"/>
  <c r="N9" i="45"/>
  <c r="N10" i="45"/>
  <c r="N11" i="45"/>
  <c r="N12" i="45"/>
  <c r="N7" i="45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F6" i="291" l="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F14" i="288" l="1"/>
  <c r="C13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D16" i="30"/>
  <c r="F19" i="30" l="1"/>
  <c r="F26" i="30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6" i="118"/>
  <c r="F11" i="30" l="1"/>
  <c r="F23" i="30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H35" i="7" s="1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C25" i="7" l="1"/>
  <c r="E6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E19" i="259" l="1"/>
  <c r="H26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G13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L15" i="24"/>
  <c r="F15" i="24"/>
  <c r="N15" i="24" s="1"/>
  <c r="L14" i="24"/>
  <c r="F14" i="24"/>
  <c r="J12" i="24"/>
  <c r="H12" i="24"/>
  <c r="D12" i="24"/>
  <c r="B12" i="24"/>
  <c r="L11" i="24"/>
  <c r="F11" i="24"/>
  <c r="L10" i="24"/>
  <c r="F10" i="24"/>
  <c r="N10" i="24" s="1"/>
  <c r="L9" i="24"/>
  <c r="F9" i="24"/>
  <c r="L8" i="24"/>
  <c r="F8" i="24"/>
  <c r="L7" i="24"/>
  <c r="F7" i="24"/>
  <c r="N13" i="15"/>
  <c r="F7" i="15"/>
  <c r="N8" i="24" l="1"/>
  <c r="N7" i="24"/>
  <c r="N16" i="24"/>
  <c r="N17" i="24"/>
  <c r="N18" i="24"/>
  <c r="N9" i="24"/>
  <c r="N11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2" i="24" s="1"/>
  <c r="N14" i="24"/>
  <c r="D6" i="6"/>
  <c r="D5" i="6"/>
  <c r="D4" i="6"/>
  <c r="H5" i="140"/>
  <c r="N19" i="24" l="1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35" i="182" l="1"/>
  <c r="F34" i="182"/>
  <c r="F33" i="182"/>
  <c r="F32" i="182"/>
  <c r="F31" i="182"/>
  <c r="F30" i="182"/>
  <c r="F29" i="182"/>
  <c r="F28" i="182"/>
  <c r="F27" i="182"/>
  <c r="F16" i="182"/>
  <c r="F26" i="182"/>
  <c r="F25" i="182"/>
  <c r="F24" i="182"/>
  <c r="F23" i="182"/>
  <c r="F22" i="182"/>
  <c r="F21" i="182"/>
  <c r="F20" i="182"/>
  <c r="F19" i="182"/>
  <c r="F18" i="182"/>
  <c r="F17" i="182"/>
  <c r="F15" i="182"/>
  <c r="F14" i="182"/>
  <c r="F13" i="182"/>
  <c r="F12" i="182"/>
  <c r="F11" i="182"/>
  <c r="F10" i="182"/>
  <c r="F9" i="182"/>
  <c r="F8" i="182"/>
  <c r="F7" i="182"/>
  <c r="F6" i="182"/>
  <c r="F5" i="182"/>
  <c r="F4" i="182"/>
  <c r="F52" i="30" l="1"/>
  <c r="F51" i="30"/>
  <c r="F48" i="30"/>
  <c r="N84" i="161" l="1"/>
  <c r="AL64" i="161" l="1"/>
  <c r="AL65" i="161"/>
  <c r="AL66" i="161"/>
  <c r="AM66" i="161" s="1"/>
  <c r="AL67" i="161"/>
  <c r="AL68" i="161"/>
  <c r="AL69" i="161"/>
  <c r="AL70" i="161"/>
  <c r="AL71" i="161"/>
  <c r="AL72" i="161"/>
  <c r="AL73" i="161"/>
  <c r="AL74" i="161"/>
  <c r="AL75" i="161"/>
  <c r="AL76" i="161"/>
  <c r="AL77" i="161"/>
  <c r="AL78" i="161"/>
  <c r="AL79" i="161"/>
  <c r="AL80" i="161"/>
  <c r="AL81" i="161"/>
  <c r="AL58" i="161"/>
  <c r="AL59" i="161"/>
  <c r="AL60" i="161"/>
  <c r="AL61" i="161"/>
  <c r="AL62" i="161"/>
  <c r="AL63" i="161"/>
  <c r="AL52" i="161"/>
  <c r="AL53" i="161"/>
  <c r="AL54" i="161"/>
  <c r="AL55" i="161"/>
  <c r="AL56" i="161"/>
  <c r="AM56" i="161" s="1"/>
  <c r="AL57" i="161"/>
  <c r="AL44" i="161"/>
  <c r="AL45" i="161"/>
  <c r="AL46" i="161"/>
  <c r="AL47" i="161"/>
  <c r="AL48" i="161"/>
  <c r="AL49" i="161"/>
  <c r="AL50" i="161"/>
  <c r="AL51" i="161"/>
  <c r="AL29" i="161"/>
  <c r="AL30" i="161"/>
  <c r="AL31" i="161"/>
  <c r="AL32" i="161"/>
  <c r="AL33" i="161"/>
  <c r="AL34" i="161"/>
  <c r="AL35" i="161"/>
  <c r="AL36" i="161"/>
  <c r="AL37" i="161"/>
  <c r="AL38" i="161"/>
  <c r="AL39" i="161"/>
  <c r="AL40" i="161"/>
  <c r="AL41" i="161"/>
  <c r="AL42" i="161"/>
  <c r="AL43" i="161"/>
  <c r="AL14" i="161"/>
  <c r="AL15" i="161"/>
  <c r="AL16" i="161"/>
  <c r="AL17" i="161"/>
  <c r="AL18" i="161"/>
  <c r="AL19" i="161"/>
  <c r="AL20" i="161"/>
  <c r="AL21" i="161"/>
  <c r="AL22" i="161"/>
  <c r="AL23" i="161"/>
  <c r="AL24" i="161"/>
  <c r="AL25" i="161"/>
  <c r="AL26" i="161"/>
  <c r="AL27" i="161"/>
  <c r="AL28" i="161"/>
  <c r="AL6" i="161"/>
  <c r="AL7" i="161"/>
  <c r="AL8" i="161"/>
  <c r="AM8" i="161" s="1"/>
  <c r="AM3" i="161" s="1"/>
  <c r="AL9" i="161"/>
  <c r="AL10" i="161"/>
  <c r="AL11" i="161"/>
  <c r="AL12" i="161"/>
  <c r="AL13" i="161"/>
  <c r="AL5" i="161"/>
  <c r="W24" i="161"/>
  <c r="W25" i="161"/>
  <c r="W26" i="161"/>
  <c r="W27" i="161"/>
  <c r="W28" i="161"/>
  <c r="W29" i="161"/>
  <c r="W30" i="161"/>
  <c r="W31" i="161"/>
  <c r="X31" i="161" s="1"/>
  <c r="W32" i="161"/>
  <c r="W33" i="161"/>
  <c r="W34" i="161"/>
  <c r="W35" i="161"/>
  <c r="W36" i="161"/>
  <c r="X36" i="161" s="1"/>
  <c r="W37" i="161"/>
  <c r="W38" i="161"/>
  <c r="W11" i="161"/>
  <c r="W12" i="161"/>
  <c r="W13" i="161"/>
  <c r="W14" i="161"/>
  <c r="W15" i="161"/>
  <c r="W16" i="161"/>
  <c r="W17" i="161"/>
  <c r="W18" i="161"/>
  <c r="W19" i="161"/>
  <c r="X19" i="161" s="1"/>
  <c r="W20" i="161"/>
  <c r="X20" i="161" s="1"/>
  <c r="W21" i="161"/>
  <c r="X21" i="161" s="1"/>
  <c r="W22" i="161"/>
  <c r="X22" i="161" s="1"/>
  <c r="W23" i="161"/>
  <c r="W9" i="161"/>
  <c r="W8" i="161"/>
  <c r="W7" i="161"/>
  <c r="W6" i="161"/>
  <c r="W10" i="161"/>
  <c r="W5" i="161"/>
  <c r="N62" i="161"/>
  <c r="N83" i="161"/>
  <c r="N103" i="161"/>
  <c r="N104" i="161"/>
  <c r="N99" i="161"/>
  <c r="N100" i="161"/>
  <c r="N101" i="161"/>
  <c r="N102" i="161"/>
  <c r="N98" i="161"/>
  <c r="N97" i="161"/>
  <c r="N94" i="161"/>
  <c r="N95" i="161"/>
  <c r="N96" i="161"/>
  <c r="N93" i="161"/>
  <c r="N79" i="161"/>
  <c r="N74" i="161"/>
  <c r="N73" i="161"/>
  <c r="N72" i="161"/>
  <c r="N87" i="161"/>
  <c r="N88" i="161"/>
  <c r="N89" i="161"/>
  <c r="N90" i="161"/>
  <c r="N91" i="161"/>
  <c r="N92" i="161"/>
  <c r="N86" i="161"/>
  <c r="N85" i="161"/>
  <c r="N82" i="161"/>
  <c r="N81" i="161"/>
  <c r="N80" i="161"/>
  <c r="N78" i="161"/>
  <c r="N77" i="161"/>
  <c r="N76" i="161"/>
  <c r="N75" i="161"/>
  <c r="N71" i="161"/>
  <c r="N70" i="161"/>
  <c r="N69" i="161"/>
  <c r="N68" i="161"/>
  <c r="N67" i="161"/>
  <c r="N66" i="161"/>
  <c r="N65" i="161"/>
  <c r="N64" i="161"/>
  <c r="N63" i="161"/>
  <c r="N61" i="161"/>
  <c r="N60" i="161"/>
  <c r="N57" i="161"/>
  <c r="N56" i="161"/>
  <c r="N55" i="161"/>
  <c r="N59" i="161"/>
  <c r="N58" i="161"/>
  <c r="N54" i="161"/>
  <c r="N53" i="161"/>
  <c r="N51" i="161"/>
  <c r="N52" i="161"/>
  <c r="N50" i="161"/>
  <c r="N49" i="161"/>
  <c r="N48" i="161"/>
  <c r="N47" i="161"/>
  <c r="N46" i="161"/>
  <c r="N45" i="161"/>
  <c r="N44" i="161"/>
  <c r="N43" i="161"/>
  <c r="N30" i="161"/>
  <c r="N28" i="161"/>
  <c r="N26" i="161"/>
  <c r="N42" i="161"/>
  <c r="N41" i="161"/>
  <c r="N40" i="161"/>
  <c r="N39" i="161"/>
  <c r="N38" i="161"/>
  <c r="N37" i="161"/>
  <c r="N36" i="161"/>
  <c r="N35" i="161"/>
  <c r="N34" i="161"/>
  <c r="N33" i="161"/>
  <c r="N32" i="161"/>
  <c r="N31" i="161"/>
  <c r="N29" i="161"/>
  <c r="N27" i="161"/>
  <c r="N22" i="161"/>
  <c r="N23" i="161"/>
  <c r="N24" i="161"/>
  <c r="N25" i="161"/>
  <c r="N19" i="161"/>
  <c r="N20" i="161"/>
  <c r="N21" i="161"/>
  <c r="N14" i="161"/>
  <c r="N15" i="161"/>
  <c r="N16" i="161"/>
  <c r="N17" i="161"/>
  <c r="N18" i="161"/>
  <c r="N12" i="161"/>
  <c r="N13" i="161"/>
  <c r="N11" i="161"/>
  <c r="N10" i="161"/>
  <c r="N9" i="161"/>
  <c r="N8" i="161"/>
  <c r="N6" i="161"/>
  <c r="N7" i="161"/>
  <c r="N5" i="161"/>
  <c r="X23" i="161" l="1"/>
  <c r="W39" i="161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8" i="51" l="1"/>
  <c r="I17" i="51"/>
  <c r="H17" i="51"/>
  <c r="I16" i="51"/>
  <c r="H16" i="51"/>
  <c r="I15" i="51"/>
  <c r="H15" i="5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8" i="51"/>
  <c r="F18" i="51"/>
  <c r="H18" i="51" l="1"/>
  <c r="I18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8" i="51"/>
  <c r="D18" i="51"/>
  <c r="C18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N8" i="25" l="1"/>
  <c r="N14" i="25"/>
  <c r="N13" i="25"/>
  <c r="N12" i="25"/>
  <c r="N9" i="25"/>
  <c r="N7" i="25"/>
  <c r="N7" i="15"/>
  <c r="H13" i="13"/>
  <c r="X39" i="161"/>
  <c r="X33" i="161"/>
  <c r="E10" i="29"/>
  <c r="D10" i="29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F10" i="29" l="1"/>
  <c r="N15" i="25"/>
  <c r="N10" i="25"/>
  <c r="N19" i="15"/>
  <c r="N12" i="15"/>
  <c r="X3" i="161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<sst xmlns="http://schemas.openxmlformats.org/spreadsheetml/2006/main" count="1800" uniqueCount="1004">
  <si>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</si>
  <si>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</si>
  <si>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</si>
  <si>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</si>
  <si>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</si>
  <si>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</si>
  <si>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</si>
  <si>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</si>
  <si>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</si>
  <si>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</si>
  <si>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</si>
  <si>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</si>
  <si>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</si>
  <si>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</si>
  <si>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</si>
  <si>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</si>
  <si>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</si>
  <si>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</si>
  <si>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</si>
  <si>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</si>
  <si>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</si>
  <si>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</si>
  <si>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</si>
  <si>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</si>
  <si>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</si>
  <si>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</si>
  <si>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</si>
  <si>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</si>
  <si>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</si>
  <si>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</si>
  <si>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</si>
  <si>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</si>
  <si>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</si>
  <si>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</si>
  <si>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</si>
  <si>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</si>
  <si>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</si>
  <si>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</si>
  <si>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</si>
  <si>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</si>
  <si>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</si>
  <si>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</si>
  <si>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</si>
  <si>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</si>
  <si>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</si>
  <si>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</si>
  <si>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</si>
  <si>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</si>
  <si>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</si>
  <si>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</si>
  <si>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</si>
  <si>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</si>
  <si>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</si>
  <si>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</si>
  <si>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</si>
  <si>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</si>
  <si>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</si>
  <si>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</si>
  <si>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</si>
  <si>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</si>
  <si>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</si>
  <si>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</si>
  <si>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</si>
  <si>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</si>
  <si>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</si>
  <si>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</si>
  <si>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</si>
  <si>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</si>
  <si>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</si>
  <si>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</si>
  <si>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</si>
  <si>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</si>
  <si>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</si>
  <si>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</si>
  <si>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</si>
  <si>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</si>
  <si>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</si>
  <si>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</si>
  <si>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</si>
  <si>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</si>
  <si>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</si>
  <si>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</si>
  <si>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</si>
  <si>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</si>
  <si>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</si>
  <si>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</si>
  <si>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</si>
  <si>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</si>
  <si>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</si>
  <si>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</si>
  <si>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</si>
  <si>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</si>
  <si>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</si>
  <si>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</si>
  <si>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</si>
  <si>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</si>
  <si>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</si>
  <si>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</si>
  <si>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</si>
  <si>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</si>
  <si>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</si>
  <si>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</si>
  <si>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</si>
  <si>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</si>
  <si>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</si>
  <si>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</si>
  <si>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</si>
  <si>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</si>
  <si>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</si>
  <si>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</si>
  <si>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</si>
  <si>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</si>
  <si>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</si>
  <si>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</si>
  <si>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</si>
  <si>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</si>
  <si>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</si>
  <si>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</si>
  <si>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</si>
  <si>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</si>
  <si>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</si>
  <si>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</si>
  <si>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Број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</si>
  <si>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</si>
  <si>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</si>
  <si>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</si>
  <si>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</si>
  <si>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</si>
  <si>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</si>
  <si>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</si>
  <si>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</si>
  <si>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</si>
  <si>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</si>
  <si>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</si>
  <si>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</si>
  <si>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</si>
  <si>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</si>
  <si>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</si>
  <si>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</si>
  <si>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</si>
  <si>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</si>
  <si>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</si>
  <si>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</si>
  <si>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</si>
  <si>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</si>
  <si>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</si>
  <si>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</si>
  <si>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</si>
  <si>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</si>
  <si>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6=5/4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</si>
  <si>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</si>
  <si>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</si>
  <si>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</si>
  <si>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</si>
  <si>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</si>
  <si>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</si>
  <si>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</si>
  <si>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</si>
  <si>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</si>
  <si>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</si>
  <si>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</si>
  <si>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</si>
  <si>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</si>
  <si>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</si>
  <si>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</si>
  <si>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</si>
  <si>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</si>
  <si>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</si>
  <si>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</si>
  <si>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</si>
  <si>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</si>
  <si>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</si>
  <si>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</si>
  <si>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</si>
  <si>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</si>
  <si>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</si>
  <si>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</si>
  <si>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</si>
  <si>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</si>
  <si>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</si>
  <si>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</si>
  <si>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</si>
  <si>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</si>
  <si>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</si>
  <si>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</si>
  <si>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</si>
  <si>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</si>
  <si>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</si>
  <si>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</si>
  <si>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</si>
  <si>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</si>
  <si>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</si>
  <si>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</si>
  <si>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</si>
  <si>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</si>
  <si>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</si>
  <si>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</si>
  <si>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</si>
  <si>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</si>
  <si>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</si>
  <si>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</si>
  <si>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</si>
  <si>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Ознака</t>
  </si>
  <si>
    <t/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</si>
  <si>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</si>
  <si>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</si>
  <si>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</si>
  <si>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</si>
  <si>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</si>
  <si>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</si>
  <si>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</si>
  <si>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</si>
  <si>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</si>
  <si>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</si>
  <si>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</si>
  <si>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C 02.00 – КАПИТАЛНИ ЗАХТЈЕВИ (KA2)</t>
  </si>
  <si>
    <t>Ред</t>
  </si>
  <si>
    <t>Ставка</t>
  </si>
  <si>
    <t>010</t>
  </si>
  <si>
    <t>1</t>
  </si>
  <si>
    <t>РЕГУЛАТОРНИ КАПИТАЛ</t>
  </si>
  <si>
    <t>УКУПАН ИЗНОС ИЗЛОЖЕНОСТИ РИЗИКУ</t>
  </si>
  <si>
    <t>015</t>
  </si>
  <si>
    <t>1.1</t>
  </si>
  <si>
    <t>ОСНОВНИ КАПИТАЛ</t>
  </si>
  <si>
    <t>020</t>
  </si>
  <si>
    <t xml:space="preserve">   од чега: инвестициона друштва у складу са ограниченим одобрењем за пружање инвестиционих услуга (n/а)</t>
  </si>
  <si>
    <t>1.1.1</t>
  </si>
  <si>
    <t>РЕДОВНИ ОСНОВНИ КАПИТАЛ</t>
  </si>
  <si>
    <t>030</t>
  </si>
  <si>
    <t xml:space="preserve">   од чега: инвестициона друштва са захтијеваним иницијалним капиталом (n/а)</t>
  </si>
  <si>
    <t>1.1.1.1</t>
  </si>
  <si>
    <t>Инструменти капитала који се признају као редовни основни капитал</t>
  </si>
  <si>
    <t>040</t>
  </si>
  <si>
    <t>ИЗНОСИ ИЗЛОЖЕНОСТИ ПОНДЕРИСАНИ РИЗИКОМ ЗА КРЕДИТНИ РИЗИК, КРЕДИТНИ РИЗИК ИЗЛОЖЕНОСТИ ФИНАНСИЈСКИХ ДЕРИВАТА ТЕ СЛОБОДНЕ ИСПОРУКЕ</t>
  </si>
  <si>
    <t>1.1.1.1.1</t>
  </si>
  <si>
    <t>Уплаћени инструменти капитала</t>
  </si>
  <si>
    <t>050</t>
  </si>
  <si>
    <t>Стандардизовани приступ</t>
  </si>
  <si>
    <t>045</t>
  </si>
  <si>
    <t>1.1.1.1.1*</t>
  </si>
  <si>
    <t xml:space="preserve">   Од чега инструменти капитала које уписују тијела јавног сектора у ванредним ситуацијама (n/a)</t>
  </si>
  <si>
    <t>060</t>
  </si>
  <si>
    <t xml:space="preserve">   Категорије изложености у складу са стандардизованим приступом искључујући секјуритиз. позиције</t>
  </si>
  <si>
    <t>1.1.1.1.2*</t>
  </si>
  <si>
    <t>Забиљешка: Инструменти капитала који се не признају</t>
  </si>
  <si>
    <t>070</t>
  </si>
  <si>
    <t xml:space="preserve">   Централне владе или централне банке</t>
  </si>
  <si>
    <t>1.1.1.1.3</t>
  </si>
  <si>
    <t xml:space="preserve">   Емисиона премија на акције</t>
  </si>
  <si>
    <t>080</t>
  </si>
  <si>
    <t xml:space="preserve">   Регионалне владе или локалне власти</t>
  </si>
  <si>
    <t>1.1.1.1.4</t>
  </si>
  <si>
    <t xml:space="preserve">   (–) Властити инструменти редовног основног капитала</t>
  </si>
  <si>
    <t>090</t>
  </si>
  <si>
    <t xml:space="preserve">   Субјекти јавног сектора</t>
  </si>
  <si>
    <t>1.1.1.1.4.1</t>
  </si>
  <si>
    <t xml:space="preserve">   (–) Директна улагања у инструменте редовног основног капитала</t>
  </si>
  <si>
    <t>100</t>
  </si>
  <si>
    <t xml:space="preserve">   Мултилатералне развојне банке</t>
  </si>
  <si>
    <t>1.1.1.1.4.2</t>
  </si>
  <si>
    <t xml:space="preserve">   (–) Индиректна улагања у инструменте редовног основног капитала</t>
  </si>
  <si>
    <t>110</t>
  </si>
  <si>
    <t xml:space="preserve">   Међународне организације</t>
  </si>
  <si>
    <t>091</t>
  </si>
  <si>
    <t>1.1.1.1.4.3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</si>
  <si>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</si>
  <si>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120</t>
  </si>
  <si>
    <t xml:space="preserve">   Институције</t>
  </si>
  <si>
    <t>092</t>
  </si>
  <si>
    <t>1.1.1.1.5</t>
  </si>
  <si>
    <t xml:space="preserve">   (–) Стварне или потенцијалне обавезе куповине властитих инструмената редовног основног капитала</t>
  </si>
  <si>
    <t>130</t>
  </si>
  <si>
    <t xml:space="preserve">   Привредна друштва</t>
  </si>
  <si>
    <t>1.1.1.2</t>
  </si>
  <si>
    <t>Задржана добит</t>
  </si>
  <si>
    <t>140</t>
  </si>
  <si>
    <t xml:space="preserve">   Становништво</t>
  </si>
  <si>
    <t>1.1.1.2.1</t>
  </si>
  <si>
    <t xml:space="preserve">   Задржана добит протеклих година</t>
  </si>
  <si>
    <t>150</t>
  </si>
  <si>
    <t xml:space="preserve">   Обезбијеђене некретнинама</t>
  </si>
  <si>
    <t>1.1.1.2.2</t>
  </si>
  <si>
    <t xml:space="preserve">   Призната добит или губитак</t>
  </si>
  <si>
    <t>160</t>
  </si>
  <si>
    <t xml:space="preserve">   Изложености са статусом незмирења овабеза</t>
  </si>
  <si>
    <t>1.1.1.2.2.1</t>
  </si>
  <si>
    <t xml:space="preserve">   Добит или губитак који припада власницима матичног друштва</t>
  </si>
  <si>
    <t>170</t>
  </si>
  <si>
    <t xml:space="preserve">   Високоризичне ставке</t>
  </si>
  <si>
    <t>1.1.1.2.2.2</t>
  </si>
  <si>
    <t xml:space="preserve">   (–) Дио добити текуће године остварене током пословне године или добити текуће године остварене на крају пословне године који није признат</t>
  </si>
  <si>
    <t>180</t>
  </si>
  <si>
    <t xml:space="preserve">   Покривене обвезнице</t>
  </si>
  <si>
    <t>1.1.1.3</t>
  </si>
  <si>
    <t>190</t>
  </si>
  <si>
    <t xml:space="preserve">   Потраживања према институцијама и друштвима с краткорочном кредитном процјеном</t>
  </si>
  <si>
    <t>200</t>
  </si>
  <si>
    <t>1.1.1.4</t>
  </si>
  <si>
    <t xml:space="preserve">   Удјели или акције у инвестиционим фондовима</t>
  </si>
  <si>
    <t>210</t>
  </si>
  <si>
    <t>1.1.1.5</t>
  </si>
  <si>
    <t>Резерве за опште банкарске ризике</t>
  </si>
  <si>
    <t xml:space="preserve">   Власничка улагања</t>
  </si>
  <si>
    <t>220</t>
  </si>
  <si>
    <t>1.1.1.6</t>
  </si>
  <si>
    <t>Прелазна усклађивања на основу инструмената редовног основног капитала који се настављају признавати (n/a)</t>
  </si>
  <si>
    <t>211</t>
  </si>
  <si>
    <t xml:space="preserve">   Остале изложености</t>
  </si>
  <si>
    <t>230</t>
  </si>
  <si>
    <t>1.1.1.7</t>
  </si>
  <si>
    <t>Мањински удјели (учешћа) без права контроле који се признају у редовном основном капиталу</t>
  </si>
  <si>
    <t xml:space="preserve">   Секјуритизацијске позиције у складу са стандардизованим приступом (n/а)</t>
  </si>
  <si>
    <t>240</t>
  </si>
  <si>
    <t>1.1.1.8</t>
  </si>
  <si>
    <t>Прелазна усклађивања на основу додатних мањинских удјела (n/a)</t>
  </si>
  <si>
    <t xml:space="preserve">   од чега: ресекјуритизација (n/а)</t>
  </si>
  <si>
    <t>250</t>
  </si>
  <si>
    <t>1.1.1.9</t>
  </si>
  <si>
    <t>Усклађивања редовног основног капитала због додатног прилагођавања</t>
  </si>
  <si>
    <t>Приступ заснован на приступу интерне процјене вјероватноће неизмирења  обавеза (IRB) (n/а)</t>
  </si>
  <si>
    <t>260</t>
  </si>
  <si>
    <t>1.1.1.9.1</t>
  </si>
  <si>
    <t xml:space="preserve">   (–) Повећања власничког капитала која произилазе из секјуритизоване имовине (n/a)</t>
  </si>
  <si>
    <t xml:space="preserve">  IRB приступи када се не примјењују ни властите процјене губитка усљед настанка неизмирења обавеза (LGD) ни фактори конверзије (n/а)</t>
  </si>
  <si>
    <t>270</t>
  </si>
  <si>
    <t>1.1.1.9.2</t>
  </si>
  <si>
    <t xml:space="preserve">   Резерва на основу заштите новчаних токова</t>
  </si>
  <si>
    <t xml:space="preserve">   Централне владе или централне банке (n/а)</t>
  </si>
  <si>
    <t>280</t>
  </si>
  <si>
    <t>1.1.1.9.3</t>
  </si>
  <si>
    <t xml:space="preserve">   Кумулативни добици и губици по обавезама вреднованим по фер вриједности због промјена властитог кредитног рејтинга</t>
  </si>
  <si>
    <t xml:space="preserve">   Институције (n/а)</t>
  </si>
  <si>
    <t>285</t>
  </si>
  <si>
    <t>1.1.1.9.4</t>
  </si>
  <si>
    <t xml:space="preserve">   Добици или губици настали вредновањем по фер вриједности, који произлазе из кредитног рејтинга саме институције повезаног с обавезама по дериватима</t>
  </si>
  <si>
    <t>290</t>
  </si>
  <si>
    <t xml:space="preserve">   Привредна друштва – МСП (n/а)</t>
  </si>
  <si>
    <t>1.1.1.9.5</t>
  </si>
  <si>
    <t xml:space="preserve">   (–) Вриједносна усклађивања због захтјева за додатно прилагођавање</t>
  </si>
  <si>
    <t>300</t>
  </si>
  <si>
    <t xml:space="preserve">   Привредна друштва – специјализовано финансирање (n/а)</t>
  </si>
  <si>
    <t>(–) Goodwill</t>
  </si>
  <si>
    <t xml:space="preserve">   Привредна друштва – остало (n/а)</t>
  </si>
  <si>
    <t>310</t>
  </si>
  <si>
    <t>1.1.1.10.1</t>
  </si>
  <si>
    <t xml:space="preserve">   (–) Goodwill који се исказује као нематеријална имовина</t>
  </si>
  <si>
    <t xml:space="preserve">   IRB приступи када се примјењују властите процјене LGD-а и/или фактори конверзије (n/а)</t>
  </si>
  <si>
    <t>320</t>
  </si>
  <si>
    <t>1.1.1.10.2</t>
  </si>
  <si>
    <t xml:space="preserve">   (–) Goodwill укључен у вредновање значајних улагања</t>
  </si>
  <si>
    <t xml:space="preserve">   Централне владе и централне банке (n/а)</t>
  </si>
  <si>
    <t>330</t>
  </si>
  <si>
    <t>1.1.1.10.3</t>
  </si>
  <si>
    <t xml:space="preserve">   Одложене пореске обавезе повезане са goodwill-ом</t>
  </si>
  <si>
    <t>340</t>
  </si>
  <si>
    <t>1.1.1.11</t>
  </si>
  <si>
    <t>350</t>
  </si>
  <si>
    <t>1.1.1.11.1</t>
  </si>
  <si>
    <t xml:space="preserve">   (–) Остала нематеријална имовина прије одбитка одложених пореских обавеза (бруто износ остале нематеријалне имовине)</t>
  </si>
  <si>
    <t>360</t>
  </si>
  <si>
    <t>1.1.1.11.2</t>
  </si>
  <si>
    <t xml:space="preserve">   Одложене пореске обавезе повезане са осталом нематеријалном имовином</t>
  </si>
  <si>
    <t>370</t>
  </si>
  <si>
    <t>1.1.1.12</t>
  </si>
  <si>
    <t>(–) Одложена пореска имовина која зависи од будуће профитабилности и не произилази из привремених разлика умањених за повезане пореске обавезе</t>
  </si>
  <si>
    <t xml:space="preserve">   Становништво –обезбијеђене некретнином МСП-а (n/а)</t>
  </si>
  <si>
    <t>380</t>
  </si>
  <si>
    <t>1.1.1.13</t>
  </si>
  <si>
    <t>(–) Мањак исправке вриједности за кредитни ризик у односу на очекиване губитке примјеном IRB приступа (n/a)</t>
  </si>
  <si>
    <t xml:space="preserve">   Становништво – обезбијеђено некретнином, није изложеност према МСП-у (n/а)</t>
  </si>
  <si>
    <t>390</t>
  </si>
  <si>
    <t>1.1.1.14</t>
  </si>
  <si>
    <t>(–) Имовина пензионог фонда финансирана од стране послодавца (n/a)</t>
  </si>
  <si>
    <t xml:space="preserve">   Становништво – квалификоване обновљиве (револвинг) изложености (n/а)</t>
  </si>
  <si>
    <t>400</t>
  </si>
  <si>
    <t>1.1.1.14.1</t>
  </si>
  <si>
    <t xml:space="preserve">   (–) Имовина пензионог фонда финансирана од стране послодавца (n/a)</t>
  </si>
  <si>
    <t xml:space="preserve">   Становништво – остало, МСП (n/а)</t>
  </si>
  <si>
    <t>410</t>
  </si>
  <si>
    <t>1.1.1.14.2</t>
  </si>
  <si>
    <t xml:space="preserve">   Одложене пореске обавезе повезане са имовином пензионог фонда финансирана од стране послодавца (n/a)</t>
  </si>
  <si>
    <t xml:space="preserve">   Становништво – остало, особе које нису МСП-ови (n/а)</t>
  </si>
  <si>
    <t>420</t>
  </si>
  <si>
    <t>1.1.1.14.3</t>
  </si>
  <si>
    <t xml:space="preserve">   Имовина пензионог фонда финансирана од стране послодавца коју институција има неограничену могућност користити (n/a)</t>
  </si>
  <si>
    <t xml:space="preserve">   Власничка улагања у складу с IRB приступом (n/а)</t>
  </si>
  <si>
    <t>430</t>
  </si>
  <si>
    <t>1.1.1.15</t>
  </si>
  <si>
    <t>(–) Реципрочна међусобна улагања у редовни основни капитал</t>
  </si>
  <si>
    <t xml:space="preserve">   Секјуритизацијске позиције у складу с IRB приступом(n/а)</t>
  </si>
  <si>
    <t>440</t>
  </si>
  <si>
    <t>1.1.1.16</t>
  </si>
  <si>
    <t>(–) Одбици од ставки додатног основног капитала који премашују додатни основни капитал</t>
  </si>
  <si>
    <t>450</t>
  </si>
  <si>
    <t>1.1.1.17</t>
  </si>
  <si>
    <t>(–) Квалификовани удјели у правном лицу изван финансијског сектора на које се као алтернатива може примјењивати пондер ризика од 1250%</t>
  </si>
  <si>
    <t xml:space="preserve">   Остала имовина (n/а)</t>
  </si>
  <si>
    <t>460</t>
  </si>
  <si>
    <t>1.1.1.18</t>
  </si>
  <si>
    <t>(–) Секуритизацијске позиције на које се као алтернатива може примјењивати пондер ризика од 1250% (n/a)</t>
  </si>
  <si>
    <t>Износ изложености ризику за уплате у фонд за неиспуњене обавезе централне друге уговорне стране (n/а)</t>
  </si>
  <si>
    <t>470</t>
  </si>
  <si>
    <t>1.1.1.19</t>
  </si>
  <si>
    <t>(–) Слободне испоруке на које се као алтернатива може примјењивати пондер ризика од 1250%</t>
  </si>
  <si>
    <t>490</t>
  </si>
  <si>
    <t>УКУПАН ИЗНОС ИЗЛОЖЕНОСТИ РИЗИКУ НАМИРЕЊА/СЛОБОДНЕ ИСПОРУКE</t>
  </si>
  <si>
    <t>471</t>
  </si>
  <si>
    <t>1.1.1.20</t>
  </si>
  <si>
    <t>(–) Позиције у кошарици за које институција не може утврдити пондер ризика према IRB приступу и на које се као алтернатива може примјењивати пондер ризика од 1250% (n/a)</t>
  </si>
  <si>
    <t>500</t>
  </si>
  <si>
    <t>Ризик намирења/испоруке у банкарској књизи</t>
  </si>
  <si>
    <t>472</t>
  </si>
  <si>
    <t>1.1.1.21</t>
  </si>
  <si>
    <t>(–) Изложености на основу власничких улагања у складу с приступом интерних модела на које се као алтернатива може примјењивати пондер ризика од 1250% (n/a)</t>
  </si>
  <si>
    <t>510</t>
  </si>
  <si>
    <t>Ризик намирења/испоруке у књизи трговања</t>
  </si>
  <si>
    <t>480</t>
  </si>
  <si>
    <t>1.1.1.22</t>
  </si>
  <si>
    <t>(–) Инструменти редовног основног капитала субјеката финансијског сектора ако банка нема значајно улагање</t>
  </si>
  <si>
    <t>520</t>
  </si>
  <si>
    <t>УКУПАН ИЗНОС ИЗЛОЖЕНОСТИ ЗА РИЗИК ПОЗИЦИЈЕ, ДЕВИЗНИ И РОБНИ РИЗИК</t>
  </si>
  <si>
    <t>1.1.1.23</t>
  </si>
  <si>
    <t>(–) Одложено пореско средство које се може одбити и која зависи од будуће профитабилности и произилази из привремених разлика</t>
  </si>
  <si>
    <t>530</t>
  </si>
  <si>
    <t>Износ изложености за ризик позиције, девизни и робни ризик у складу са стандардизованим приступима</t>
  </si>
  <si>
    <t>1.1.1.24</t>
  </si>
  <si>
    <t>(–) Инструменти редовног основног капитала субјеката финансијског сектора ако банка има значајно улагање</t>
  </si>
  <si>
    <t>540</t>
  </si>
  <si>
    <t xml:space="preserve"> Дужнички инструменти којима се тргује</t>
  </si>
  <si>
    <t>1.1.1.25</t>
  </si>
  <si>
    <t>(–) Износ који премашује праг од 17,65% (n/a)</t>
  </si>
  <si>
    <t>550</t>
  </si>
  <si>
    <t>Власнички инструмент</t>
  </si>
  <si>
    <t>1.1.1.26</t>
  </si>
  <si>
    <t>Остала прелазна усклађивања редовног основног капитала</t>
  </si>
  <si>
    <t>555</t>
  </si>
  <si>
    <t>Посебан приступ позицијском ризику за инвестиционе фондове</t>
  </si>
  <si>
    <t>524</t>
  </si>
  <si>
    <t>1.1.1.27</t>
  </si>
  <si>
    <t>(-) Додатни одбици од редовног основног капитала</t>
  </si>
  <si>
    <t>556</t>
  </si>
  <si>
    <t>Забиљешке: Позиције у инвестиционим фондовима искључиво уложене у дужничке инструменте којима се тргује</t>
  </si>
  <si>
    <t>529</t>
  </si>
  <si>
    <t>1.1.1.28</t>
  </si>
  <si>
    <t>Елементи или одбици од редовног основног капитала – остало</t>
  </si>
  <si>
    <t>557</t>
  </si>
  <si>
    <t>Позиције у инвестиционим фондовима искључиво уложене у власничке инструменте или мјешовите инструменте</t>
  </si>
  <si>
    <t>1.1.2</t>
  </si>
  <si>
    <t>ДОДАТНИ ОСНОВНИ КАПИТАЛ</t>
  </si>
  <si>
    <t>560</t>
  </si>
  <si>
    <t xml:space="preserve">   Девизна позиција</t>
  </si>
  <si>
    <t>1.1.2.1</t>
  </si>
  <si>
    <t>Инструменти капитала који се признају као додатни основни капитал</t>
  </si>
  <si>
    <t>570</t>
  </si>
  <si>
    <t xml:space="preserve">   Позиција у роби</t>
  </si>
  <si>
    <t>1.1.2.1.1</t>
  </si>
  <si>
    <t xml:space="preserve">   Плаћени инструменти капитала</t>
  </si>
  <si>
    <t>580</t>
  </si>
  <si>
    <t>Износ изложености за ризик позиције, девизни и робни ризик у складу са интерним моделима (n/а)</t>
  </si>
  <si>
    <t>1.1.2.1.2*</t>
  </si>
  <si>
    <t xml:space="preserve">   Забиљешка: Инструменти капитала који се не признају</t>
  </si>
  <si>
    <t>590</t>
  </si>
  <si>
    <t>УКУПАН ИЗНОС ИЗЛОЖЕНОСТИ РИЗИКУ ЗА ОПЕРАТИВНИ РИЗИК</t>
  </si>
  <si>
    <t>1.1.2.1.3</t>
  </si>
  <si>
    <t xml:space="preserve">   Премија на акције</t>
  </si>
  <si>
    <t>600</t>
  </si>
  <si>
    <t>Једноставни приступ оперативном ризику</t>
  </si>
  <si>
    <t>1.1.2.1.4</t>
  </si>
  <si>
    <t xml:space="preserve">   (–) Властити инструменти додатног основног капитала</t>
  </si>
  <si>
    <t>610</t>
  </si>
  <si>
    <t>Стандардизовани приступ оперативном ризику</t>
  </si>
  <si>
    <t>1.1.2.1.4.1</t>
  </si>
  <si>
    <t xml:space="preserve">   (–) Директна улагања у инструменте додатног основног капитала</t>
  </si>
  <si>
    <t>620</t>
  </si>
  <si>
    <t>Напредни приступи оперативном ризику (n/а)</t>
  </si>
  <si>
    <t>1.1.2.1.4.2</t>
  </si>
  <si>
    <t xml:space="preserve">   (–) Индиректна улагања у инструменте додатног основног капитала</t>
  </si>
  <si>
    <t>630</t>
  </si>
  <si>
    <t>ДОДАТНИ ИЗНОС ИЗЛОЖЕНОСТИ РИЗИКУ ЗБОГ ФИКСНИХ ОПШТИХ ТРОШКОВА (n/а)</t>
  </si>
  <si>
    <t>621</t>
  </si>
  <si>
    <t>1.1.2.1.4.3</t>
  </si>
  <si>
    <t xml:space="preserve">   (–) Улагања у инструменте додатног основног капитала за које Агенција утврди да не представља реално и прихватљиво повећање регулаторног капитала </t>
  </si>
  <si>
    <t>640</t>
  </si>
  <si>
    <t>УКУПАН ИЗНОС ИЗЛОЖЕНОСТИ РИЗИКУ ЗА ПРИЛАГОЂАВАЊЕ КРЕДИТНОМ ВРЕДНОВАЊУ (n/а)</t>
  </si>
  <si>
    <t>622</t>
  </si>
  <si>
    <t>1.1.2.1.5</t>
  </si>
  <si>
    <t xml:space="preserve">   (–) Стварне или потенцијалне обавезе куповине властитих инструмената додатног основног капитала</t>
  </si>
  <si>
    <t>650</t>
  </si>
  <si>
    <t>Напредна метода (n/а)</t>
  </si>
  <si>
    <t>660</t>
  </si>
  <si>
    <t>1.1.2.2</t>
  </si>
  <si>
    <t>Прелазна усклађивања на основу инструмената додатног основног капитала који се настављају признавати (n/a)</t>
  </si>
  <si>
    <t>Стандардизована метода (n/а)</t>
  </si>
  <si>
    <t>670</t>
  </si>
  <si>
    <t>1.1.2.3</t>
  </si>
  <si>
    <t>Инструменти подређених друштава који су признати у додатном основном капиталу (n/a)</t>
  </si>
  <si>
    <t>На основу методе оригиналне изложености (n/а)</t>
  </si>
  <si>
    <t>680</t>
  </si>
  <si>
    <t>1.1.2.4</t>
  </si>
  <si>
    <t>Прелазна усклађивања на основу додатног признавања инструмената подређених друштава у додатном основном капиталу (n/a)</t>
  </si>
  <si>
    <t>УКУПАН ИЗНОС ИЗЛОЖЕНОСТИ РИЗИКУ ПОВЕЗАН С ВЕЛИКИМ ИЗЛОЖЕНОСТИМА КОЈЕ ПРОИЗЛАЗЕ ИЗ СТАВКИ У КЊИЗИ ТРГОВАЊА</t>
  </si>
  <si>
    <t>690</t>
  </si>
  <si>
    <t>1.1.2.5</t>
  </si>
  <si>
    <t>(–) Реципрочна међусобна улагања у додатни основни капитал</t>
  </si>
  <si>
    <t>ОСТАЛИ ИЗНОСИ ИЗЛОЖЕНОСТИ РИЗИКУ (n/а)</t>
  </si>
  <si>
    <t>700</t>
  </si>
  <si>
    <t>1.1.2.6</t>
  </si>
  <si>
    <t>(–) Инструменти додатног основног капитала субјеката финансијског сектора ако банка нема значајно улагање</t>
  </si>
  <si>
    <t>710</t>
  </si>
  <si>
    <t>од чега: додатни строжи бонитетни захтјеви (n/а)</t>
  </si>
  <si>
    <t>1.1.2.7</t>
  </si>
  <si>
    <t>(–) Инструменти додатног основног капитала субјеката финансијског сектора ако банка има значајно улагање</t>
  </si>
  <si>
    <t>720</t>
  </si>
  <si>
    <t xml:space="preserve">   од чега: захтјеви за велике изложености (n/а)</t>
  </si>
  <si>
    <t>1.1.2.8</t>
  </si>
  <si>
    <t>730</t>
  </si>
  <si>
    <t xml:space="preserve">   од чега: на основу модификованих пондера ризика за некретнинске балоне у сектору стамбених и пословних некретнина (n/а)</t>
  </si>
  <si>
    <t>1.1.2.9</t>
  </si>
  <si>
    <t>Остала прелазна усклађивањања додатног основног капитала (n/a)</t>
  </si>
  <si>
    <t>740</t>
  </si>
  <si>
    <t xml:space="preserve">   од чега: због изложености унутар финансијског сектора (n/а)</t>
  </si>
  <si>
    <t>1.1.2.10</t>
  </si>
  <si>
    <t>750</t>
  </si>
  <si>
    <t>744</t>
  </si>
  <si>
    <t>1.1.2.11</t>
  </si>
  <si>
    <t xml:space="preserve">(-) Додатни одбици од додатног основног капитала  </t>
  </si>
  <si>
    <t>760</t>
  </si>
  <si>
    <t>од чега: додатни износи изложености ризику (n/а)</t>
  </si>
  <si>
    <t>748</t>
  </si>
  <si>
    <t>1.1.2.12</t>
  </si>
  <si>
    <t>Елементи или одбици од додатног основног капитала – остало</t>
  </si>
  <si>
    <t>1.2</t>
  </si>
  <si>
    <t>ДОПУНСКИ КАПИТАЛ</t>
  </si>
  <si>
    <t>1.2.1</t>
  </si>
  <si>
    <t>Инструменти капитала и субординисани кредити који се признају као допунски капитал</t>
  </si>
  <si>
    <t>770</t>
  </si>
  <si>
    <t>1.2.1.1</t>
  </si>
  <si>
    <t xml:space="preserve">   Плаћени инструменти капитала и субординисани дугови</t>
  </si>
  <si>
    <t>780</t>
  </si>
  <si>
    <t>1.2.1.1*</t>
  </si>
  <si>
    <t xml:space="preserve">   Забиљешка: Инструменти капитала и субординисани кредити који нису признати</t>
  </si>
  <si>
    <t>790</t>
  </si>
  <si>
    <t>1.2.1.3</t>
  </si>
  <si>
    <t>800</t>
  </si>
  <si>
    <t>1.2.1.4</t>
  </si>
  <si>
    <t xml:space="preserve">   (–) Властити инструменти допунског капитала</t>
  </si>
  <si>
    <t>810</t>
  </si>
  <si>
    <t>1.2.1.4.1</t>
  </si>
  <si>
    <t xml:space="preserve">   (–) Директна улагања у инструменте допунског капитала</t>
  </si>
  <si>
    <t>840</t>
  </si>
  <si>
    <t>1.2.1.4.2</t>
  </si>
  <si>
    <t xml:space="preserve">   (–) Индиректна улагања у инструменте допунског капитала</t>
  </si>
  <si>
    <t>841</t>
  </si>
  <si>
    <t>1.2.1.4.3</t>
  </si>
  <si>
    <t xml:space="preserve">   (–) Улагања у инструменте допунског капитала за које Агенција утврди да не представља реално и прихватљиво повећање регулаторног капитала</t>
  </si>
  <si>
    <t>842</t>
  </si>
  <si>
    <t>1.2.1.5</t>
  </si>
  <si>
    <t xml:space="preserve">   (–) Стварне или потенцијалне обавезе куповине властитих инструмената допунског капитала</t>
  </si>
  <si>
    <t>880</t>
  </si>
  <si>
    <t>1.2.2</t>
  </si>
  <si>
    <t>Прелазна усклађивања на основу инструмената допунског капитала који се настављају признавати и подређених кредита (n/a)</t>
  </si>
  <si>
    <t>890</t>
  </si>
  <si>
    <t>1.2.3</t>
  </si>
  <si>
    <t>Инструменти подређених друштава који су признати у допунском капиталу (n/a)</t>
  </si>
  <si>
    <t>900</t>
  </si>
  <si>
    <t>1.2.4</t>
  </si>
  <si>
    <t>Прелазна усклађивања на основу додатног признавања инструмената подређених друштава у допунском капиталу (n/a)</t>
  </si>
  <si>
    <t>910</t>
  </si>
  <si>
    <t>1.2.5</t>
  </si>
  <si>
    <t>Признати износ вишка резервација изнад очекиваних губитака примјеном IRB приступа (n/a)</t>
  </si>
  <si>
    <t>920</t>
  </si>
  <si>
    <t>1.2.6</t>
  </si>
  <si>
    <t>930</t>
  </si>
  <si>
    <t>1.2.7</t>
  </si>
  <si>
    <t>(–) Реципрочно међусобно улагање у допунски капитал</t>
  </si>
  <si>
    <t>940</t>
  </si>
  <si>
    <t>1.2.8</t>
  </si>
  <si>
    <t>(–) Инструменти допунског капитала субјеката финансијског сектора ако банка нема значајно улагање</t>
  </si>
  <si>
    <t>950</t>
  </si>
  <si>
    <t>1.2.9</t>
  </si>
  <si>
    <t>(–) Инструменти допунског капитала субјеката финансијског сектора ако банка има значајно улагање</t>
  </si>
  <si>
    <t>960</t>
  </si>
  <si>
    <t>1.2.10</t>
  </si>
  <si>
    <t>Остала прелазна усклађивања допунског капитала</t>
  </si>
  <si>
    <t>970</t>
  </si>
  <si>
    <t>1.2.11</t>
  </si>
  <si>
    <t>974</t>
  </si>
  <si>
    <t>1.2.12</t>
  </si>
  <si>
    <t>(-) Додатни одбици допунског капитала</t>
  </si>
  <si>
    <t>978</t>
  </si>
  <si>
    <t>1.2.13</t>
  </si>
  <si>
    <t>Елементи или одбици од допунског капитала – остало</t>
  </si>
  <si>
    <t>C 01.00 – РЕГУЛАТОРНИ КАПИТАЛ (КА1)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</si>
  <si>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</si>
  <si>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</si>
  <si>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</si>
  <si>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</si>
  <si>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</si>
  <si>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</si>
  <si>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</si>
  <si>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</si>
  <si>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</si>
  <si>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</si>
  <si>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</si>
  <si>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</si>
  <si>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</si>
  <si>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</si>
  <si>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</si>
  <si>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</si>
  <si>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</si>
  <si>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</si>
  <si>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</si>
  <si>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</si>
  <si>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</si>
  <si>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</si>
  <si>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</si>
  <si>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</si>
  <si>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</si>
  <si>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</si>
  <si>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</si>
  <si>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</si>
  <si>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</si>
  <si>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</si>
  <si>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</si>
  <si>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</si>
  <si>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</si>
  <si>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</si>
  <si>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</si>
  <si>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</si>
  <si>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</si>
  <si>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</si>
  <si>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</si>
  <si>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</si>
  <si>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</si>
  <si>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</si>
  <si>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</si>
  <si>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</si>
  <si>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</si>
  <si>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</si>
  <si>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</si>
  <si>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</si>
  <si>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</si>
  <si>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</si>
  <si>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</si>
  <si>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</si>
  <si>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</si>
  <si>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</si>
  <si>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</si>
  <si>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</si>
  <si>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</si>
  <si>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</si>
  <si>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</si>
  <si>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</si>
  <si>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 xml:space="preserve">ПРЕГЛЕД на дан 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</si>
  <si>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</si>
  <si>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</si>
  <si>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</si>
  <si>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</si>
  <si>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</si>
  <si>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</si>
  <si>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</si>
  <si>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</si>
  <si>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</si>
  <si>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</si>
  <si>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</si>
  <si>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</si>
  <si>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</si>
  <si>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</si>
  <si>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</si>
  <si>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</si>
  <si>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</si>
  <si>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</si>
  <si>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</si>
  <si>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</si>
  <si>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</si>
  <si>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</si>
  <si>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</si>
  <si>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</si>
  <si>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</si>
  <si>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</si>
  <si>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</si>
  <si>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</si>
  <si>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</si>
  <si>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</si>
  <si>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</si>
  <si>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</si>
  <si>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</si>
  <si>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</si>
  <si>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</si>
  <si>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</si>
  <si>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</si>
  <si>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Структура капитала - све ставке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</si>
  <si>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</si>
  <si>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</si>
  <si>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</si>
  <si>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</si>
  <si>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</si>
  <si>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</si>
  <si>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</si>
  <si>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</si>
  <si>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</si>
  <si>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</si>
  <si>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</si>
  <si>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</si>
  <si>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</si>
  <si>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</si>
  <si>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</si>
  <si>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</si>
  <si>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</si>
  <si>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</si>
  <si>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</si>
  <si>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</si>
  <si>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</si>
  <si>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</si>
  <si>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</si>
  <si>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</si>
  <si>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</si>
  <si>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</si>
  <si>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</si>
  <si>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</si>
  <si>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</si>
  <si>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</si>
  <si>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</si>
  <si>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</si>
  <si>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</si>
  <si>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</si>
  <si>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</si>
  <si>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</si>
  <si>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</si>
  <si>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</si>
  <si>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</si>
  <si>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</si>
  <si>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</si>
  <si>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</si>
  <si>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</si>
  <si>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</si>
  <si>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</si>
  <si>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</si>
  <si>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</si>
  <si>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</si>
  <si>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</si>
  <si>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</si>
  <si>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</si>
  <si>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</si>
  <si>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</si>
  <si>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</si>
  <si>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</si>
  <si>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</si>
  <si>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</si>
  <si>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</si>
  <si>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</si>
  <si>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</si>
  <si>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</si>
  <si>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</si>
  <si>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</si>
  <si>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</si>
  <si>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</si>
  <si>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</si>
  <si>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</si>
  <si>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</si>
  <si>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</si>
  <si>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</si>
  <si>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</si>
  <si>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</si>
  <si>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</si>
  <si>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</si>
  <si>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</si>
  <si>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</si>
  <si>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a4</t>
  </si>
  <si>
    <t>a12</t>
  </si>
  <si>
    <t>a16</t>
  </si>
  <si>
    <t>a17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</si>
  <si>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</si>
  <si>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</si>
  <si>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</si>
  <si>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</si>
  <si>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</si>
  <si>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</si>
  <si>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</si>
  <si>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</si>
  <si>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</si>
  <si>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</si>
  <si>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</si>
  <si>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</si>
  <si>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</si>
  <si>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</si>
  <si>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</si>
  <si>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</si>
  <si>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</si>
  <si>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</si>
  <si>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</si>
  <si>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</si>
  <si>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</si>
  <si>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</si>
  <si>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</si>
  <si>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</si>
  <si>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</si>
  <si>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</si>
  <si>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</si>
  <si>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</si>
  <si>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</si>
  <si>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</si>
  <si>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</si>
  <si>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</si>
  <si>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</si>
  <si>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</si>
  <si>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</si>
  <si>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</si>
  <si>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</si>
  <si>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</si>
  <si>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</si>
  <si>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</si>
  <si>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</si>
  <si>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</si>
  <si>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</si>
  <si>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</si>
  <si>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</si>
  <si>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</si>
  <si>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</si>
  <si>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</si>
  <si>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</si>
  <si>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</si>
  <si>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</si>
  <si>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</si>
  <si>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</si>
  <si>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a101a</t>
  </si>
  <si>
    <t>a101b</t>
  </si>
  <si>
    <t>a1</t>
  </si>
  <si>
    <t>a3</t>
  </si>
  <si>
    <t>a5</t>
  </si>
  <si>
    <t>a18b</t>
  </si>
  <si>
    <t>a26</t>
  </si>
  <si>
    <t>a2+a5</t>
  </si>
  <si>
    <t>a6+a7+a8+a9b</t>
  </si>
  <si>
    <t>a13+a14+a15+a18g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</si>
  <si>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</si>
  <si>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</si>
  <si>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</si>
  <si>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</si>
  <si>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</si>
  <si>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</si>
  <si>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</si>
  <si>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</si>
  <si>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</si>
  <si>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</si>
  <si>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</si>
  <si>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</si>
  <si>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</si>
  <si>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</si>
  <si>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</si>
  <si>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</si>
  <si>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</si>
  <si>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</si>
  <si>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</si>
  <si>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</si>
  <si>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</si>
  <si>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</si>
  <si>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</si>
  <si>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</si>
  <si>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</si>
  <si>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</si>
  <si>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</si>
  <si>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</si>
  <si>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</si>
  <si>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</si>
  <si>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</si>
  <si>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</si>
  <si>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</si>
  <si>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</si>
  <si>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</si>
  <si>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</si>
  <si>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</si>
  <si>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</si>
  <si>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</si>
  <si>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</si>
  <si>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</si>
  <si>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</si>
  <si>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</si>
  <si>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</si>
  <si>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</si>
  <si>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</si>
  <si>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</si>
  <si>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</si>
  <si>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</si>
  <si>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</si>
  <si>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</si>
  <si>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</si>
  <si>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</si>
  <si>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</si>
  <si>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</si>
  <si>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</si>
  <si>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</si>
  <si>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</si>
  <si>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</si>
  <si>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</si>
  <si>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</si>
  <si>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</si>
  <si>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</si>
  <si>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</si>
  <si>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</si>
  <si>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</si>
  <si>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</si>
  <si>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</si>
  <si>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</si>
  <si>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</si>
  <si>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</si>
  <si>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</si>
  <si>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</si>
  <si>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</si>
  <si>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</si>
  <si>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</si>
  <si>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</si>
  <si>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</si>
  <si>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</si>
  <si>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</si>
  <si>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</si>
  <si>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</si>
  <si>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</si>
  <si>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</si>
  <si>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</si>
  <si>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</si>
  <si>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</si>
  <si>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</si>
  <si>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</si>
  <si>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</si>
  <si>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</si>
  <si>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</si>
  <si>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</si>
  <si>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</si>
  <si>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</si>
  <si>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</si>
  <si>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</si>
  <si>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</si>
  <si>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</si>
  <si>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</si>
  <si>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</si>
  <si>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</si>
  <si>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</si>
  <si>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</si>
  <si>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</si>
  <si>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</si>
  <si>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</si>
  <si>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</si>
  <si>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</si>
  <si>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>1.1.1.11.1.1</t>
  </si>
  <si>
    <t>252</t>
  </si>
  <si>
    <t xml:space="preserve">   У цјелости уплаћени инструменти капитала 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</si>
  <si>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</si>
  <si>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</si>
  <si>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</si>
  <si>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</si>
  <si>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</si>
  <si>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</si>
  <si>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</si>
  <si>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</si>
  <si>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</si>
  <si>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</si>
  <si>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2024.</t>
  </si>
  <si>
    <t>06/2025.</t>
  </si>
  <si>
    <t>31.12.2025</t>
  </si>
  <si>
    <t>2025.</t>
  </si>
  <si>
    <t>31.12.2024</t>
  </si>
  <si>
    <t>"Наша банка" а.д. Бaња Лука</t>
  </si>
  <si>
    <t>12/2021.</t>
  </si>
  <si>
    <t>12/2022.</t>
  </si>
  <si>
    <t>12/2023.</t>
  </si>
  <si>
    <t>12/2024.</t>
  </si>
  <si>
    <t>12/2025.</t>
  </si>
  <si>
    <t>551</t>
  </si>
  <si>
    <t>771</t>
  </si>
  <si>
    <t>Инструменти капитала и рачуни емисионе премије који се признају као редовни основни капитал</t>
  </si>
  <si>
    <t>У цјелости уплаћени инструменти капитала</t>
  </si>
  <si>
    <t xml:space="preserve">         (–) Од чега софвтер признат као нематеријална имовина прије одбитка одложених пореских обавеза</t>
  </si>
  <si>
    <t>Инструменти капитала и рачуни емисионе премије који се признају као додатни основни капитал</t>
  </si>
  <si>
    <t xml:space="preserve">   У цјелости уплаћени инструменти капитала</t>
  </si>
  <si>
    <t>Инструменти капитала и рачуни емисионе премије који се признају као допунски капитал</t>
  </si>
  <si>
    <t>03/2025.</t>
  </si>
  <si>
    <t>09/2025.</t>
  </si>
  <si>
    <t>01/2025.</t>
  </si>
  <si>
    <t>02/2025.</t>
  </si>
  <si>
    <t>04/2025.</t>
  </si>
  <si>
    <t>05/2025.</t>
  </si>
  <si>
    <t>07/2025.</t>
  </si>
  <si>
    <t>08/2025.</t>
  </si>
  <si>
    <t>10/2025.</t>
  </si>
  <si>
    <t>11/2025.</t>
  </si>
  <si>
    <t>Јеврејска 71</t>
  </si>
  <si>
    <t>Јеврејска 69</t>
  </si>
  <si>
    <t>Алеја Светог Саве 13</t>
  </si>
  <si>
    <t>Алеја Светог Саве 61</t>
  </si>
  <si>
    <t>Бања Лука</t>
  </si>
  <si>
    <t>Краqа Алфонса 13 бр 37А</t>
  </si>
  <si>
    <t>Дејан Вуклишевић</t>
  </si>
  <si>
    <t>Марко Максимовић</t>
  </si>
  <si>
    <t>Александар Кременовић</t>
  </si>
  <si>
    <t>Слађан Станић</t>
  </si>
  <si>
    <t>Игор Јовичић</t>
  </si>
  <si>
    <t>Спас Благовестов Видаркински</t>
  </si>
  <si>
    <t>Горан Бабић</t>
  </si>
  <si>
    <t>Синиша Аџић</t>
  </si>
  <si>
    <t>Милана Тепића 4</t>
  </si>
  <si>
    <t>Марије Бурсаћ 7</t>
  </si>
  <si>
    <t>Ивана Фрање Јукића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</si>
</sst>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8" formatCode="0.000"/>
    <numFmt numFmtId="169" formatCode="0.0000"/>
  </numFmts>
  <fonts count="11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 Light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820000"/>
      <name val="Calibri Light"/>
      <family val="2"/>
    </font>
    <font>
      <b/>
      <sz val="9"/>
      <color rgb="FF820000"/>
      <name val="Calibri Light"/>
      <family val="2"/>
    </font>
    <font>
      <sz val="10"/>
      <color rgb="FF820000"/>
      <name val="Calibri"/>
      <family val="2"/>
      <scheme val="minor"/>
    </font>
    <font>
      <b/>
      <sz val="10"/>
      <color rgb="FF820000"/>
      <name val="Calibri"/>
      <family val="2"/>
      <scheme val="minor"/>
    </font>
    <font>
      <sz val="12"/>
      <name val="Arial"/>
      <family val="2"/>
      <charset val="238"/>
    </font>
    <font>
      <i/>
      <sz val="10"/>
      <color theme="1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rgb="FFFF0000"/>
      <name val="Calibri"/>
      <family val="2"/>
      <scheme val="minor"/>
    </font>
    <font>
      <sz val="10"/>
      <name val="Calibri Light"/>
      <family val="2"/>
    </font>
    <font>
      <i/>
      <sz val="10"/>
      <name val="Calibri"/>
      <family val="2"/>
      <scheme val="minor"/>
    </font>
    <font>
      <b/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10"/>
      <color rgb="FF0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1"/>
      <color rgb="FFFF0000"/>
      <name val="Calibri Light"/>
      <family val="2"/>
    </font>
    <font>
      <b/>
      <sz val="10"/>
      <color rgb="FFFF0000"/>
      <name val="Calibri Light"/>
      <family val="2"/>
    </font>
    <font>
      <b/>
      <sz val="10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color theme="5" tint="-0.249977111117893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sz val="9"/>
      <color rgb="FF632423"/>
      <name val="Times New Roman"/>
      <family val="1"/>
      <charset val="20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90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/>
      <top style="medium">
        <color rgb="FF800000"/>
      </top>
      <bottom/>
      <diagonal/>
    </border>
    <border>
      <left/>
      <right/>
      <top/>
      <bottom style="medium">
        <color rgb="FF800000"/>
      </bottom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rgb="FF808080"/>
      </left>
      <right style="dotted">
        <color rgb="FF808080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dotted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medium">
        <color rgb="FF800000"/>
      </top>
      <bottom/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hair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 style="medium">
        <color rgb="FF808080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23" fillId="0" borderId="0"/>
    <xf numFmtId="0" fontId="8" fillId="0" borderId="0"/>
    <xf numFmtId="0" fontId="35" fillId="0" borderId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5" fillId="0" borderId="0"/>
    <xf numFmtId="0" fontId="44" fillId="0" borderId="0"/>
    <xf numFmtId="0" fontId="8" fillId="0" borderId="0"/>
    <xf numFmtId="0" fontId="45" fillId="0" borderId="0" applyBorder="0"/>
    <xf numFmtId="0" fontId="48" fillId="0" borderId="0"/>
    <xf numFmtId="0" fontId="48" fillId="0" borderId="0"/>
    <xf numFmtId="0" fontId="36" fillId="0" borderId="0"/>
    <xf numFmtId="0" fontId="60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5" fillId="13" borderId="0"/>
    <xf numFmtId="0" fontId="6" fillId="0" borderId="0"/>
    <xf numFmtId="0" fontId="36" fillId="0" borderId="0">
      <alignment vertical="center"/>
    </xf>
    <xf numFmtId="0" fontId="36" fillId="0" borderId="0">
      <alignment vertical="center"/>
    </xf>
  </cellStyleXfs>
  <cellXfs count="963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6" borderId="0" xfId="0" applyNumberFormat="1" applyFont="1" applyFill="1" applyAlignment="1">
      <alignment horizontal="right" vertical="center" wrapText="1"/>
    </xf>
    <xf numFmtId="0" fontId="10" fillId="6" borderId="0" xfId="0" applyFont="1" applyFill="1" applyAlignment="1">
      <alignment vertical="center" wrapText="1"/>
    </xf>
    <xf numFmtId="164" fontId="9" fillId="6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6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6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9" fillId="0" borderId="0" xfId="1" applyFont="1" applyAlignment="1">
      <alignment vertical="center"/>
    </xf>
    <xf numFmtId="14" fontId="37" fillId="0" borderId="0" xfId="7" applyNumberFormat="1" applyFont="1"/>
    <xf numFmtId="14" fontId="41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8" fillId="0" borderId="0" xfId="0" applyFont="1"/>
    <xf numFmtId="0" fontId="26" fillId="0" borderId="9" xfId="0" applyFont="1" applyBorder="1" applyAlignment="1">
      <alignment vertical="center"/>
    </xf>
    <xf numFmtId="0" fontId="37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48" fillId="0" borderId="0" xfId="24"/>
    <xf numFmtId="49" fontId="51" fillId="0" borderId="0" xfId="0" applyNumberFormat="1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3" fillId="0" borderId="0" xfId="25" applyFont="1" applyAlignment="1">
      <alignment wrapText="1"/>
    </xf>
    <xf numFmtId="0" fontId="53" fillId="0" borderId="0" xfId="0" applyFont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0" fontId="42" fillId="0" borderId="0" xfId="0" applyFont="1"/>
    <xf numFmtId="0" fontId="55" fillId="0" borderId="0" xfId="0" applyFont="1"/>
    <xf numFmtId="0" fontId="55" fillId="5" borderId="12" xfId="0" applyFont="1" applyFill="1" applyBorder="1" applyAlignment="1">
      <alignment horizontal="center" vertical="center" wrapText="1"/>
    </xf>
    <xf numFmtId="49" fontId="56" fillId="7" borderId="12" xfId="0" applyNumberFormat="1" applyFont="1" applyFill="1" applyBorder="1" applyAlignment="1">
      <alignment horizontal="center" vertical="center" wrapText="1"/>
    </xf>
    <xf numFmtId="49" fontId="56" fillId="0" borderId="12" xfId="25" applyNumberFormat="1" applyFont="1" applyBorder="1" applyAlignment="1">
      <alignment vertical="center" wrapText="1"/>
    </xf>
    <xf numFmtId="0" fontId="56" fillId="0" borderId="12" xfId="25" applyFont="1" applyBorder="1" applyAlignment="1">
      <alignment vertical="center" wrapText="1"/>
    </xf>
    <xf numFmtId="4" fontId="57" fillId="0" borderId="12" xfId="25" applyNumberFormat="1" applyFont="1" applyBorder="1" applyAlignment="1">
      <alignment horizontal="right" vertical="center" wrapText="1"/>
    </xf>
    <xf numFmtId="4" fontId="56" fillId="0" borderId="12" xfId="25" applyNumberFormat="1" applyFont="1" applyBorder="1" applyAlignment="1">
      <alignment horizontal="right" vertical="center" wrapText="1"/>
    </xf>
    <xf numFmtId="4" fontId="54" fillId="0" borderId="11" xfId="24" applyNumberFormat="1" applyFont="1" applyBorder="1" applyAlignment="1" applyProtection="1">
      <alignment horizontal="right" vertical="center" wrapText="1"/>
      <protection locked="0"/>
    </xf>
    <xf numFmtId="49" fontId="58" fillId="5" borderId="12" xfId="0" applyNumberFormat="1" applyFont="1" applyFill="1" applyBorder="1" applyAlignment="1">
      <alignment horizontal="center" vertical="center" wrapText="1"/>
    </xf>
    <xf numFmtId="0" fontId="59" fillId="0" borderId="12" xfId="26" applyFont="1" applyBorder="1" applyAlignment="1">
      <alignment horizontal="left" vertical="center" wrapText="1"/>
    </xf>
    <xf numFmtId="4" fontId="59" fillId="0" borderId="12" xfId="27" applyNumberFormat="1" applyFont="1" applyBorder="1" applyAlignment="1">
      <alignment horizontal="right" vertical="center" wrapText="1" shrinkToFit="1"/>
    </xf>
    <xf numFmtId="4" fontId="54" fillId="5" borderId="11" xfId="24" applyNumberFormat="1" applyFont="1" applyFill="1" applyBorder="1" applyAlignment="1">
      <alignment horizontal="right" vertical="center" wrapText="1"/>
    </xf>
    <xf numFmtId="0" fontId="61" fillId="5" borderId="12" xfId="0" applyFont="1" applyFill="1" applyBorder="1" applyAlignment="1">
      <alignment horizontal="left" vertical="center" wrapText="1" indent="4"/>
    </xf>
    <xf numFmtId="4" fontId="58" fillId="5" borderId="12" xfId="0" applyNumberFormat="1" applyFont="1" applyFill="1" applyBorder="1" applyAlignment="1">
      <alignment horizontal="right" vertical="center" wrapText="1" shrinkToFit="1"/>
    </xf>
    <xf numFmtId="49" fontId="47" fillId="7" borderId="12" xfId="0" applyNumberFormat="1" applyFont="1" applyFill="1" applyBorder="1" applyAlignment="1">
      <alignment horizontal="center" vertical="center" wrapText="1"/>
    </xf>
    <xf numFmtId="49" fontId="47" fillId="0" borderId="12" xfId="25" applyNumberFormat="1" applyFont="1" applyBorder="1" applyAlignment="1">
      <alignment vertical="center" wrapText="1"/>
    </xf>
    <xf numFmtId="0" fontId="47" fillId="0" borderId="12" xfId="25" applyFont="1" applyBorder="1" applyAlignment="1">
      <alignment vertical="center" wrapText="1"/>
    </xf>
    <xf numFmtId="4" fontId="62" fillId="0" borderId="12" xfId="25" applyNumberFormat="1" applyFont="1" applyBorder="1" applyAlignment="1">
      <alignment horizontal="right" vertical="center" wrapText="1"/>
    </xf>
    <xf numFmtId="4" fontId="47" fillId="0" borderId="12" xfId="25" applyNumberFormat="1" applyFont="1" applyBorder="1" applyAlignment="1">
      <alignment horizontal="right" vertical="center" wrapText="1"/>
    </xf>
    <xf numFmtId="49" fontId="46" fillId="0" borderId="12" xfId="25" applyNumberFormat="1" applyFont="1" applyBorder="1" applyAlignment="1">
      <alignment vertical="center" wrapText="1"/>
    </xf>
    <xf numFmtId="0" fontId="46" fillId="0" borderId="12" xfId="25" applyFont="1" applyBorder="1" applyAlignment="1">
      <alignment vertical="center" wrapText="1"/>
    </xf>
    <xf numFmtId="4" fontId="53" fillId="0" borderId="12" xfId="25" applyNumberFormat="1" applyFont="1" applyBorder="1" applyAlignment="1" applyProtection="1">
      <alignment horizontal="right" vertical="center" wrapText="1"/>
      <protection locked="0"/>
    </xf>
    <xf numFmtId="49" fontId="52" fillId="5" borderId="12" xfId="0" applyNumberFormat="1" applyFont="1" applyFill="1" applyBorder="1" applyAlignment="1">
      <alignment horizontal="center" vertical="center" wrapText="1"/>
    </xf>
    <xf numFmtId="0" fontId="55" fillId="0" borderId="12" xfId="26" applyFont="1" applyBorder="1" applyAlignment="1">
      <alignment horizontal="left" vertical="center" wrapText="1" indent="1"/>
    </xf>
    <xf numFmtId="4" fontId="55" fillId="0" borderId="12" xfId="27" applyNumberFormat="1" applyFont="1" applyBorder="1" applyAlignment="1">
      <alignment horizontal="right" vertical="center" wrapText="1" shrinkToFit="1"/>
    </xf>
    <xf numFmtId="49" fontId="46" fillId="5" borderId="12" xfId="0" applyNumberFormat="1" applyFont="1" applyFill="1" applyBorder="1" applyAlignment="1">
      <alignment vertical="center" wrapText="1"/>
    </xf>
    <xf numFmtId="0" fontId="46" fillId="5" borderId="12" xfId="0" applyFont="1" applyFill="1" applyBorder="1" applyAlignment="1">
      <alignment vertical="center" wrapText="1"/>
    </xf>
    <xf numFmtId="4" fontId="53" fillId="5" borderId="12" xfId="0" applyNumberFormat="1" applyFont="1" applyFill="1" applyBorder="1" applyAlignment="1">
      <alignment horizontal="right" vertical="center" wrapText="1"/>
    </xf>
    <xf numFmtId="4" fontId="47" fillId="5" borderId="12" xfId="0" applyNumberFormat="1" applyFont="1" applyFill="1" applyBorder="1" applyAlignment="1">
      <alignment horizontal="right" vertical="center" wrapText="1"/>
    </xf>
    <xf numFmtId="0" fontId="52" fillId="0" borderId="12" xfId="26" applyFont="1" applyBorder="1" applyAlignment="1">
      <alignment horizontal="left" vertical="center" wrapText="1" indent="2"/>
    </xf>
    <xf numFmtId="4" fontId="52" fillId="0" borderId="12" xfId="27" applyNumberFormat="1" applyFont="1" applyBorder="1" applyAlignment="1">
      <alignment horizontal="right" vertical="center" wrapText="1" shrinkToFit="1"/>
    </xf>
    <xf numFmtId="0" fontId="52" fillId="0" borderId="12" xfId="26" applyFont="1" applyBorder="1" applyAlignment="1">
      <alignment horizontal="left" vertical="center" wrapText="1" indent="4"/>
    </xf>
    <xf numFmtId="4" fontId="53" fillId="0" borderId="12" xfId="25" applyNumberFormat="1" applyFont="1" applyBorder="1" applyAlignment="1">
      <alignment horizontal="right" vertical="center" wrapText="1"/>
    </xf>
    <xf numFmtId="4" fontId="62" fillId="0" borderId="12" xfId="25" applyNumberFormat="1" applyFont="1" applyBorder="1" applyAlignment="1" applyProtection="1">
      <alignment horizontal="right" vertical="center" wrapText="1"/>
      <protection locked="0"/>
    </xf>
    <xf numFmtId="0" fontId="64" fillId="0" borderId="12" xfId="25" applyFont="1" applyBorder="1" applyAlignment="1">
      <alignment vertical="center" wrapText="1"/>
    </xf>
    <xf numFmtId="0" fontId="52" fillId="6" borderId="12" xfId="0" applyFont="1" applyFill="1" applyBorder="1" applyAlignment="1">
      <alignment horizontal="left" vertical="center" wrapText="1" indent="4"/>
    </xf>
    <xf numFmtId="4" fontId="52" fillId="6" borderId="12" xfId="0" applyNumberFormat="1" applyFont="1" applyFill="1" applyBorder="1" applyAlignment="1">
      <alignment horizontal="right" vertical="center" wrapText="1" shrinkToFit="1"/>
    </xf>
    <xf numFmtId="49" fontId="47" fillId="5" borderId="12" xfId="0" applyNumberFormat="1" applyFont="1" applyFill="1" applyBorder="1" applyAlignment="1">
      <alignment vertical="center" wrapText="1"/>
    </xf>
    <xf numFmtId="49" fontId="52" fillId="5" borderId="12" xfId="0" quotePrefix="1" applyNumberFormat="1" applyFont="1" applyFill="1" applyBorder="1" applyAlignment="1">
      <alignment horizontal="center" vertical="center" wrapText="1"/>
    </xf>
    <xf numFmtId="49" fontId="47" fillId="5" borderId="12" xfId="0" applyNumberFormat="1" applyFont="1" applyFill="1" applyBorder="1" applyAlignment="1">
      <alignment horizontal="center" vertical="center" wrapText="1"/>
    </xf>
    <xf numFmtId="4" fontId="62" fillId="0" borderId="12" xfId="25" applyNumberFormat="1" applyFont="1" applyBorder="1" applyAlignment="1" applyProtection="1">
      <alignment vertical="top" wrapText="1"/>
      <protection locked="0"/>
    </xf>
    <xf numFmtId="0" fontId="52" fillId="5" borderId="12" xfId="0" applyFont="1" applyFill="1" applyBorder="1" applyAlignment="1">
      <alignment horizontal="left" vertical="center" wrapText="1" indent="3"/>
    </xf>
    <xf numFmtId="4" fontId="52" fillId="5" borderId="12" xfId="0" applyNumberFormat="1" applyFont="1" applyFill="1" applyBorder="1" applyAlignment="1">
      <alignment horizontal="right" vertical="center" wrapText="1" shrinkToFit="1"/>
    </xf>
    <xf numFmtId="0" fontId="65" fillId="5" borderId="12" xfId="0" applyFont="1" applyFill="1" applyBorder="1" applyAlignment="1">
      <alignment horizontal="left" vertical="center" wrapText="1" indent="4"/>
    </xf>
    <xf numFmtId="0" fontId="55" fillId="5" borderId="12" xfId="0" applyFont="1" applyFill="1" applyBorder="1" applyAlignment="1">
      <alignment horizontal="left" vertical="center" wrapText="1" indent="1"/>
    </xf>
    <xf numFmtId="49" fontId="46" fillId="7" borderId="12" xfId="0" applyNumberFormat="1" applyFont="1" applyFill="1" applyBorder="1" applyAlignment="1">
      <alignment vertical="center" wrapText="1"/>
    </xf>
    <xf numFmtId="0" fontId="46" fillId="7" borderId="12" xfId="0" applyFont="1" applyFill="1" applyBorder="1" applyAlignment="1">
      <alignment vertical="center" wrapText="1"/>
    </xf>
    <xf numFmtId="4" fontId="53" fillId="7" borderId="12" xfId="0" applyNumberFormat="1" applyFont="1" applyFill="1" applyBorder="1" applyAlignment="1">
      <alignment vertical="top" wrapText="1"/>
    </xf>
    <xf numFmtId="49" fontId="66" fillId="7" borderId="12" xfId="0" applyNumberFormat="1" applyFont="1" applyFill="1" applyBorder="1" applyAlignment="1">
      <alignment horizontal="center" vertical="center" wrapText="1"/>
    </xf>
    <xf numFmtId="49" fontId="64" fillId="0" borderId="12" xfId="25" applyNumberFormat="1" applyFont="1" applyBorder="1" applyAlignment="1">
      <alignment vertical="center" wrapText="1"/>
    </xf>
    <xf numFmtId="4" fontId="67" fillId="0" borderId="12" xfId="25" applyNumberFormat="1" applyFont="1" applyBorder="1" applyAlignment="1" applyProtection="1">
      <alignment horizontal="right" vertical="center" wrapText="1"/>
      <protection locked="0"/>
    </xf>
    <xf numFmtId="4" fontId="68" fillId="0" borderId="12" xfId="25" applyNumberFormat="1" applyFont="1" applyBorder="1" applyAlignment="1" applyProtection="1">
      <alignment horizontal="right" vertical="center" wrapText="1"/>
      <protection locked="0"/>
    </xf>
    <xf numFmtId="0" fontId="52" fillId="5" borderId="12" xfId="0" applyFont="1" applyFill="1" applyBorder="1" applyAlignment="1">
      <alignment horizontal="left" vertical="center" wrapText="1" indent="4"/>
    </xf>
    <xf numFmtId="4" fontId="54" fillId="7" borderId="11" xfId="24" applyNumberFormat="1" applyFont="1" applyFill="1" applyBorder="1" applyAlignment="1">
      <alignment horizontal="right" vertical="center" wrapText="1"/>
    </xf>
    <xf numFmtId="4" fontId="54" fillId="0" borderId="11" xfId="24" applyNumberFormat="1" applyFont="1" applyBorder="1" applyAlignment="1">
      <alignment horizontal="right" vertical="center" wrapText="1"/>
    </xf>
    <xf numFmtId="10" fontId="49" fillId="0" borderId="11" xfId="24" applyNumberFormat="1" applyFont="1" applyBorder="1" applyAlignment="1">
      <alignment horizontal="right" vertical="center" wrapText="1"/>
    </xf>
    <xf numFmtId="3" fontId="54" fillId="7" borderId="11" xfId="24" applyNumberFormat="1" applyFont="1" applyFill="1" applyBorder="1" applyAlignment="1">
      <alignment horizontal="right" vertical="center" wrapText="1"/>
    </xf>
    <xf numFmtId="3" fontId="42" fillId="0" borderId="0" xfId="24" applyNumberFormat="1" applyFont="1"/>
    <xf numFmtId="3" fontId="50" fillId="0" borderId="0" xfId="24" applyNumberFormat="1" applyFont="1"/>
    <xf numFmtId="49" fontId="47" fillId="7" borderId="12" xfId="0" applyNumberFormat="1" applyFont="1" applyFill="1" applyBorder="1" applyAlignment="1">
      <alignment vertical="center" wrapText="1"/>
    </xf>
    <xf numFmtId="0" fontId="47" fillId="7" borderId="12" xfId="0" applyFont="1" applyFill="1" applyBorder="1" applyAlignment="1">
      <alignment vertical="center" wrapText="1"/>
    </xf>
    <xf numFmtId="4" fontId="53" fillId="7" borderId="12" xfId="0" applyNumberFormat="1" applyFont="1" applyFill="1" applyBorder="1" applyAlignment="1">
      <alignment horizontal="right" vertical="center" wrapText="1"/>
    </xf>
    <xf numFmtId="0" fontId="55" fillId="5" borderId="12" xfId="0" applyFont="1" applyFill="1" applyBorder="1" applyAlignment="1">
      <alignment horizontal="left" vertical="center" wrapText="1" indent="2"/>
    </xf>
    <xf numFmtId="0" fontId="59" fillId="0" borderId="12" xfId="26" applyFont="1" applyBorder="1" applyAlignment="1">
      <alignment horizontal="left" vertical="center" wrapText="1" indent="1"/>
    </xf>
    <xf numFmtId="0" fontId="55" fillId="0" borderId="12" xfId="26" applyFont="1" applyBorder="1" applyAlignment="1">
      <alignment horizontal="left" vertical="center" wrapText="1" indent="2"/>
    </xf>
    <xf numFmtId="0" fontId="52" fillId="0" borderId="12" xfId="26" applyFont="1" applyBorder="1" applyAlignment="1">
      <alignment horizontal="left" vertical="center" wrapText="1" indent="3"/>
    </xf>
    <xf numFmtId="49" fontId="47" fillId="8" borderId="12" xfId="0" applyNumberFormat="1" applyFont="1" applyFill="1" applyBorder="1" applyAlignment="1">
      <alignment vertical="center" wrapText="1"/>
    </xf>
    <xf numFmtId="0" fontId="47" fillId="8" borderId="12" xfId="0" applyFont="1" applyFill="1" applyBorder="1" applyAlignment="1">
      <alignment vertical="center" wrapText="1"/>
    </xf>
    <xf numFmtId="4" fontId="53" fillId="8" borderId="12" xfId="0" applyNumberFormat="1" applyFont="1" applyFill="1" applyBorder="1" applyAlignment="1">
      <alignment horizontal="right" vertical="center" wrapText="1"/>
    </xf>
    <xf numFmtId="0" fontId="52" fillId="0" borderId="0" xfId="0" applyFont="1"/>
    <xf numFmtId="0" fontId="47" fillId="6" borderId="12" xfId="0" applyFont="1" applyFill="1" applyBorder="1" applyAlignment="1">
      <alignment vertical="center" wrapText="1"/>
    </xf>
    <xf numFmtId="0" fontId="27" fillId="0" borderId="8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" fontId="47" fillId="7" borderId="12" xfId="0" applyNumberFormat="1" applyFont="1" applyFill="1" applyBorder="1" applyAlignment="1">
      <alignment horizontal="right" vertical="center" wrapText="1"/>
    </xf>
    <xf numFmtId="4" fontId="47" fillId="8" borderId="12" xfId="0" applyNumberFormat="1" applyFont="1" applyFill="1" applyBorder="1" applyAlignment="1">
      <alignment horizontal="right" vertical="center" wrapText="1"/>
    </xf>
    <xf numFmtId="4" fontId="69" fillId="0" borderId="11" xfId="24" applyNumberFormat="1" applyFont="1" applyBorder="1" applyAlignment="1" applyProtection="1">
      <alignment horizontal="right" vertical="center" wrapText="1"/>
      <protection locked="0"/>
    </xf>
    <xf numFmtId="4" fontId="69" fillId="5" borderId="11" xfId="24" applyNumberFormat="1" applyFont="1" applyFill="1" applyBorder="1" applyAlignment="1">
      <alignment horizontal="right" vertical="center" wrapText="1"/>
    </xf>
    <xf numFmtId="4" fontId="69" fillId="7" borderId="11" xfId="24" applyNumberFormat="1" applyFont="1" applyFill="1" applyBorder="1" applyAlignment="1">
      <alignment horizontal="right" vertical="center" wrapText="1"/>
    </xf>
    <xf numFmtId="4" fontId="69" fillId="0" borderId="11" xfId="24" applyNumberFormat="1" applyFont="1" applyBorder="1" applyAlignment="1">
      <alignment horizontal="right" vertical="center" wrapText="1"/>
    </xf>
    <xf numFmtId="10" fontId="69" fillId="0" borderId="11" xfId="24" applyNumberFormat="1" applyFont="1" applyBorder="1" applyAlignment="1">
      <alignment horizontal="right" vertical="center" wrapText="1"/>
    </xf>
    <xf numFmtId="3" fontId="69" fillId="7" borderId="11" xfId="24" applyNumberFormat="1" applyFont="1" applyFill="1" applyBorder="1" applyAlignment="1">
      <alignment horizontal="right" vertical="center" wrapText="1"/>
    </xf>
    <xf numFmtId="0" fontId="70" fillId="0" borderId="0" xfId="0" applyFont="1"/>
    <xf numFmtId="1" fontId="47" fillId="7" borderId="12" xfId="0" applyNumberFormat="1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wrapText="1"/>
    </xf>
    <xf numFmtId="0" fontId="71" fillId="0" borderId="0" xfId="25" applyFont="1" applyAlignment="1">
      <alignment horizontal="right" vertical="center"/>
    </xf>
    <xf numFmtId="0" fontId="72" fillId="9" borderId="8" xfId="25" applyFont="1" applyFill="1" applyBorder="1" applyAlignment="1">
      <alignment horizontal="center" vertical="center" wrapText="1"/>
    </xf>
    <xf numFmtId="3" fontId="50" fillId="5" borderId="11" xfId="24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4" fillId="10" borderId="0" xfId="0" applyFont="1" applyFill="1" applyAlignment="1">
      <alignment vertical="center"/>
    </xf>
    <xf numFmtId="0" fontId="32" fillId="10" borderId="0" xfId="0" applyFont="1" applyFill="1"/>
    <xf numFmtId="3" fontId="9" fillId="6" borderId="0" xfId="0" applyNumberFormat="1" applyFont="1" applyFill="1" applyAlignment="1">
      <alignment horizontal="right" vertical="center" wrapText="1" indent="1"/>
    </xf>
    <xf numFmtId="0" fontId="74" fillId="10" borderId="0" xfId="0" applyFont="1" applyFill="1" applyAlignment="1">
      <alignment horizontal="right" vertical="center"/>
    </xf>
    <xf numFmtId="0" fontId="76" fillId="0" borderId="0" xfId="0" applyFont="1" applyAlignment="1">
      <alignment horizontal="left" vertical="center" indent="1"/>
    </xf>
    <xf numFmtId="0" fontId="9" fillId="6" borderId="0" xfId="0" applyFont="1" applyFill="1" applyAlignment="1">
      <alignment vertical="center" wrapText="1"/>
    </xf>
    <xf numFmtId="164" fontId="12" fillId="6" borderId="24" xfId="0" applyNumberFormat="1" applyFont="1" applyFill="1" applyBorder="1" applyAlignment="1">
      <alignment horizontal="right" vertical="center" wrapText="1" indent="1"/>
    </xf>
    <xf numFmtId="164" fontId="12" fillId="6" borderId="0" xfId="0" applyNumberFormat="1" applyFont="1" applyFill="1" applyAlignment="1">
      <alignment horizontal="right" vertical="center" wrapText="1" indent="1"/>
    </xf>
    <xf numFmtId="0" fontId="12" fillId="6" borderId="16" xfId="0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right" vertical="center" wrapText="1" indent="1"/>
    </xf>
    <xf numFmtId="0" fontId="9" fillId="6" borderId="20" xfId="0" applyFont="1" applyFill="1" applyBorder="1" applyAlignment="1">
      <alignment vertical="center" wrapText="1"/>
    </xf>
    <xf numFmtId="164" fontId="12" fillId="6" borderId="37" xfId="0" applyNumberFormat="1" applyFont="1" applyFill="1" applyBorder="1" applyAlignment="1">
      <alignment horizontal="right" vertical="center" wrapText="1" indent="1"/>
    </xf>
    <xf numFmtId="164" fontId="12" fillId="6" borderId="20" xfId="0" applyNumberFormat="1" applyFont="1" applyFill="1" applyBorder="1" applyAlignment="1">
      <alignment horizontal="right" vertical="center" wrapText="1" indent="1"/>
    </xf>
    <xf numFmtId="0" fontId="12" fillId="6" borderId="19" xfId="0" applyFont="1" applyFill="1" applyBorder="1" applyAlignment="1">
      <alignment horizontal="right" vertical="center" wrapText="1" indent="1"/>
    </xf>
    <xf numFmtId="0" fontId="12" fillId="6" borderId="20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center" vertical="center" wrapText="1"/>
    </xf>
    <xf numFmtId="0" fontId="29" fillId="11" borderId="0" xfId="0" applyFont="1" applyFill="1" applyAlignment="1">
      <alignment vertical="center"/>
    </xf>
    <xf numFmtId="0" fontId="77" fillId="10" borderId="0" xfId="0" applyFont="1" applyFill="1" applyAlignment="1">
      <alignment horizontal="right" vertical="center" wrapText="1"/>
    </xf>
    <xf numFmtId="0" fontId="78" fillId="6" borderId="0" xfId="0" applyFont="1" applyFill="1" applyAlignment="1">
      <alignment horizontal="center" vertical="center" wrapText="1"/>
    </xf>
    <xf numFmtId="3" fontId="9" fillId="6" borderId="38" xfId="0" applyNumberFormat="1" applyFont="1" applyFill="1" applyBorder="1" applyAlignment="1">
      <alignment horizontal="right" vertical="center" wrapText="1" indent="1"/>
    </xf>
    <xf numFmtId="164" fontId="9" fillId="6" borderId="38" xfId="0" applyNumberFormat="1" applyFont="1" applyFill="1" applyBorder="1" applyAlignment="1">
      <alignment horizontal="right" vertical="center" wrapText="1" indent="1"/>
    </xf>
    <xf numFmtId="164" fontId="9" fillId="6" borderId="0" xfId="0" applyNumberFormat="1" applyFont="1" applyFill="1" applyAlignment="1">
      <alignment horizontal="right" vertical="center" wrapText="1" indent="1"/>
    </xf>
    <xf numFmtId="3" fontId="9" fillId="6" borderId="39" xfId="0" applyNumberFormat="1" applyFont="1" applyFill="1" applyBorder="1" applyAlignment="1">
      <alignment horizontal="right" vertical="center" wrapText="1" indent="1"/>
    </xf>
    <xf numFmtId="164" fontId="9" fillId="6" borderId="39" xfId="0" applyNumberFormat="1" applyFont="1" applyFill="1" applyBorder="1" applyAlignment="1">
      <alignment horizontal="right" vertical="center" wrapText="1" inden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164" fontId="9" fillId="6" borderId="44" xfId="0" applyNumberFormat="1" applyFont="1" applyFill="1" applyBorder="1" applyAlignment="1">
      <alignment horizontal="right" vertical="center" wrapText="1"/>
    </xf>
    <xf numFmtId="0" fontId="10" fillId="6" borderId="49" xfId="0" applyFont="1" applyFill="1" applyBorder="1" applyAlignment="1">
      <alignment vertical="center" wrapText="1"/>
    </xf>
    <xf numFmtId="0" fontId="79" fillId="10" borderId="0" xfId="0" applyFont="1" applyFill="1" applyAlignment="1">
      <alignment vertical="center"/>
    </xf>
    <xf numFmtId="0" fontId="78" fillId="6" borderId="53" xfId="0" applyFont="1" applyFill="1" applyBorder="1" applyAlignment="1">
      <alignment horizontal="center" vertical="center" wrapText="1"/>
    </xf>
    <xf numFmtId="0" fontId="81" fillId="10" borderId="0" xfId="0" applyFont="1" applyFill="1" applyAlignment="1">
      <alignment horizontal="left"/>
    </xf>
    <xf numFmtId="0" fontId="10" fillId="6" borderId="25" xfId="0" applyFont="1" applyFill="1" applyBorder="1" applyAlignment="1">
      <alignment vertical="center" wrapText="1"/>
    </xf>
    <xf numFmtId="164" fontId="10" fillId="6" borderId="26" xfId="0" applyNumberFormat="1" applyFont="1" applyFill="1" applyBorder="1" applyAlignment="1">
      <alignment horizontal="right" vertical="center" wrapText="1" indent="1"/>
    </xf>
    <xf numFmtId="3" fontId="10" fillId="6" borderId="25" xfId="0" applyNumberFormat="1" applyFont="1" applyFill="1" applyBorder="1" applyAlignment="1">
      <alignment horizontal="right" vertical="center" wrapText="1" indent="1"/>
    </xf>
    <xf numFmtId="0" fontId="79" fillId="11" borderId="0" xfId="0" applyFont="1" applyFill="1" applyAlignment="1">
      <alignment vertical="center"/>
    </xf>
    <xf numFmtId="0" fontId="82" fillId="11" borderId="0" xfId="0" applyFont="1" applyFill="1" applyAlignment="1">
      <alignment vertical="center" wrapText="1"/>
    </xf>
    <xf numFmtId="0" fontId="9" fillId="6" borderId="65" xfId="0" applyFont="1" applyFill="1" applyBorder="1" applyAlignment="1">
      <alignment horizontal="center" vertical="center" wrapText="1"/>
    </xf>
    <xf numFmtId="164" fontId="10" fillId="6" borderId="50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81" fillId="10" borderId="0" xfId="0" applyFont="1" applyFill="1"/>
    <xf numFmtId="0" fontId="9" fillId="6" borderId="0" xfId="0" applyFont="1" applyFill="1" applyAlignment="1">
      <alignment horizontal="left" vertical="center" wrapText="1" indent="1"/>
    </xf>
    <xf numFmtId="165" fontId="9" fillId="4" borderId="16" xfId="0" applyNumberFormat="1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vertical="center" wrapText="1"/>
    </xf>
    <xf numFmtId="164" fontId="10" fillId="6" borderId="23" xfId="0" applyNumberFormat="1" applyFont="1" applyFill="1" applyBorder="1" applyAlignment="1">
      <alignment horizontal="right" vertical="center" wrapText="1" indent="1"/>
    </xf>
    <xf numFmtId="165" fontId="10" fillId="4" borderId="14" xfId="0" applyNumberFormat="1" applyFont="1" applyFill="1" applyBorder="1" applyAlignment="1">
      <alignment horizontal="right" vertical="center" wrapText="1" indent="1"/>
    </xf>
    <xf numFmtId="164" fontId="10" fillId="6" borderId="24" xfId="0" applyNumberFormat="1" applyFont="1" applyFill="1" applyBorder="1" applyAlignment="1">
      <alignment horizontal="right" vertical="center" wrapText="1" indent="1"/>
    </xf>
    <xf numFmtId="3" fontId="10" fillId="6" borderId="0" xfId="0" applyNumberFormat="1" applyFont="1" applyFill="1" applyAlignment="1">
      <alignment horizontal="right" vertical="center" wrapText="1" indent="1"/>
    </xf>
    <xf numFmtId="1" fontId="10" fillId="4" borderId="27" xfId="0" applyNumberFormat="1" applyFont="1" applyFill="1" applyBorder="1" applyAlignment="1">
      <alignment horizontal="right" vertical="center" wrapText="1" indent="1"/>
    </xf>
    <xf numFmtId="1" fontId="10" fillId="6" borderId="25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6" borderId="28" xfId="0" applyFont="1" applyFill="1" applyBorder="1" applyAlignment="1">
      <alignment horizontal="center" vertical="center" wrapText="1"/>
    </xf>
    <xf numFmtId="164" fontId="9" fillId="6" borderId="24" xfId="0" applyNumberFormat="1" applyFont="1" applyFill="1" applyBorder="1" applyAlignment="1">
      <alignment horizontal="right" vertical="center" wrapText="1" indent="1"/>
    </xf>
    <xf numFmtId="3" fontId="9" fillId="6" borderId="24" xfId="0" applyNumberFormat="1" applyFont="1" applyFill="1" applyBorder="1" applyAlignment="1">
      <alignment horizontal="right" vertical="center" wrapText="1" indent="1"/>
    </xf>
    <xf numFmtId="0" fontId="10" fillId="6" borderId="18" xfId="0" applyFont="1" applyFill="1" applyBorder="1" applyAlignment="1">
      <alignment vertical="center" wrapText="1"/>
    </xf>
    <xf numFmtId="165" fontId="10" fillId="6" borderId="67" xfId="2" applyNumberFormat="1" applyFont="1" applyFill="1" applyBorder="1" applyAlignment="1">
      <alignment horizontal="right" vertical="center" wrapText="1" indent="1"/>
    </xf>
    <xf numFmtId="3" fontId="10" fillId="6" borderId="67" xfId="0" applyNumberFormat="1" applyFont="1" applyFill="1" applyBorder="1" applyAlignment="1">
      <alignment horizontal="right" vertical="center" wrapText="1" indent="1"/>
    </xf>
    <xf numFmtId="165" fontId="10" fillId="6" borderId="26" xfId="2" applyNumberFormat="1" applyFont="1" applyFill="1" applyBorder="1" applyAlignment="1">
      <alignment horizontal="right" vertical="center" wrapText="1" indent="1"/>
    </xf>
    <xf numFmtId="1" fontId="10" fillId="6" borderId="26" xfId="0" applyNumberFormat="1" applyFont="1" applyFill="1" applyBorder="1" applyAlignment="1">
      <alignment horizontal="right" vertical="center" wrapText="1" indent="1"/>
    </xf>
    <xf numFmtId="0" fontId="83" fillId="6" borderId="41" xfId="0" applyFont="1" applyFill="1" applyBorder="1" applyAlignment="1">
      <alignment horizontal="center" vertical="center" wrapText="1"/>
    </xf>
    <xf numFmtId="0" fontId="83" fillId="6" borderId="40" xfId="0" applyFont="1" applyFill="1" applyBorder="1" applyAlignment="1">
      <alignment horizontal="center" vertical="center" wrapText="1"/>
    </xf>
    <xf numFmtId="0" fontId="83" fillId="6" borderId="42" xfId="0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right" vertical="center" wrapText="1"/>
    </xf>
    <xf numFmtId="164" fontId="9" fillId="6" borderId="44" xfId="0" applyNumberFormat="1" applyFont="1" applyFill="1" applyBorder="1" applyAlignment="1">
      <alignment horizontal="right" vertical="center" wrapText="1" indent="1"/>
    </xf>
    <xf numFmtId="164" fontId="10" fillId="6" borderId="0" xfId="0" applyNumberFormat="1" applyFont="1" applyFill="1" applyAlignment="1">
      <alignment horizontal="right" vertical="center" wrapText="1" indent="1"/>
    </xf>
    <xf numFmtId="0" fontId="10" fillId="6" borderId="61" xfId="0" applyFont="1" applyFill="1" applyBorder="1" applyAlignment="1">
      <alignment vertical="center" wrapText="1"/>
    </xf>
    <xf numFmtId="49" fontId="10" fillId="6" borderId="53" xfId="0" applyNumberFormat="1" applyFont="1" applyFill="1" applyBorder="1" applyAlignment="1">
      <alignment horizontal="center" vertical="center" wrapText="1"/>
    </xf>
    <xf numFmtId="0" fontId="38" fillId="0" borderId="0" xfId="7" applyFont="1"/>
    <xf numFmtId="0" fontId="40" fillId="0" borderId="0" xfId="7" applyFont="1"/>
    <xf numFmtId="0" fontId="74" fillId="1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0" fillId="0" borderId="0" xfId="0" applyFont="1"/>
    <xf numFmtId="0" fontId="80" fillId="11" borderId="0" xfId="0" applyFont="1" applyFill="1" applyAlignment="1">
      <alignment vertical="center" wrapText="1"/>
    </xf>
    <xf numFmtId="49" fontId="14" fillId="6" borderId="76" xfId="0" applyNumberFormat="1" applyFont="1" applyFill="1" applyBorder="1" applyAlignment="1">
      <alignment horizontal="center" vertical="center" wrapText="1"/>
    </xf>
    <xf numFmtId="49" fontId="14" fillId="6" borderId="77" xfId="0" applyNumberFormat="1" applyFont="1" applyFill="1" applyBorder="1" applyAlignment="1">
      <alignment horizontal="center" vertical="center" wrapText="1"/>
    </xf>
    <xf numFmtId="49" fontId="17" fillId="6" borderId="75" xfId="0" applyNumberFormat="1" applyFont="1" applyFill="1" applyBorder="1" applyAlignment="1">
      <alignment horizontal="center" vertical="center" wrapText="1"/>
    </xf>
    <xf numFmtId="49" fontId="17" fillId="6" borderId="76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3" fillId="6" borderId="0" xfId="0" applyFont="1" applyFill="1" applyAlignment="1">
      <alignment vertical="center" wrapText="1"/>
    </xf>
    <xf numFmtId="0" fontId="88" fillId="6" borderId="0" xfId="0" applyFont="1" applyFill="1" applyAlignment="1">
      <alignment vertical="center" wrapText="1"/>
    </xf>
    <xf numFmtId="0" fontId="83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3" fillId="6" borderId="5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3" fontId="5" fillId="6" borderId="0" xfId="0" applyNumberFormat="1" applyFont="1" applyFill="1" applyAlignment="1">
      <alignment horizontal="right" vertical="center" wrapText="1" indent="1"/>
    </xf>
    <xf numFmtId="0" fontId="5" fillId="6" borderId="15" xfId="0" applyFont="1" applyFill="1" applyBorder="1" applyAlignment="1">
      <alignment horizontal="center" vertical="center" wrapText="1"/>
    </xf>
    <xf numFmtId="164" fontId="5" fillId="6" borderId="24" xfId="0" applyNumberFormat="1" applyFont="1" applyFill="1" applyBorder="1" applyAlignment="1">
      <alignment horizontal="right" vertical="center" wrapText="1" indent="1"/>
    </xf>
    <xf numFmtId="0" fontId="74" fillId="10" borderId="40" xfId="7" applyFont="1" applyFill="1" applyBorder="1" applyAlignment="1">
      <alignment vertical="center"/>
    </xf>
    <xf numFmtId="0" fontId="91" fillId="0" borderId="0" xfId="7" applyFont="1"/>
    <xf numFmtId="0" fontId="74" fillId="10" borderId="0" xfId="7" applyFont="1" applyFill="1" applyAlignment="1">
      <alignment vertical="center"/>
    </xf>
    <xf numFmtId="49" fontId="10" fillId="6" borderId="23" xfId="0" applyNumberFormat="1" applyFont="1" applyFill="1" applyBorder="1" applyAlignment="1">
      <alignment horizontal="right" vertical="center" wrapText="1" indent="1"/>
    </xf>
    <xf numFmtId="49" fontId="10" fillId="6" borderId="15" xfId="0" applyNumberFormat="1" applyFont="1" applyFill="1" applyBorder="1" applyAlignment="1">
      <alignment horizontal="right" vertical="center" wrapText="1" indent="1"/>
    </xf>
    <xf numFmtId="165" fontId="9" fillId="6" borderId="24" xfId="0" applyNumberFormat="1" applyFont="1" applyFill="1" applyBorder="1" applyAlignment="1">
      <alignment horizontal="right" vertical="center" wrapText="1" indent="1"/>
    </xf>
    <xf numFmtId="165" fontId="9" fillId="6" borderId="0" xfId="0" applyNumberFormat="1" applyFont="1" applyFill="1" applyAlignment="1">
      <alignment horizontal="right" vertical="center" wrapText="1" indent="1"/>
    </xf>
    <xf numFmtId="165" fontId="9" fillId="6" borderId="37" xfId="0" applyNumberFormat="1" applyFont="1" applyFill="1" applyBorder="1" applyAlignment="1">
      <alignment horizontal="right" vertical="center" wrapText="1" indent="1"/>
    </xf>
    <xf numFmtId="165" fontId="9" fillId="6" borderId="20" xfId="0" applyNumberFormat="1" applyFont="1" applyFill="1" applyBorder="1" applyAlignment="1">
      <alignment horizontal="right" vertical="center" wrapText="1" indent="1"/>
    </xf>
    <xf numFmtId="0" fontId="21" fillId="6" borderId="15" xfId="0" applyFont="1" applyFill="1" applyBorder="1" applyAlignment="1">
      <alignment horizontal="center" vertical="center" wrapText="1"/>
    </xf>
    <xf numFmtId="0" fontId="22" fillId="6" borderId="0" xfId="3" applyFont="1" applyFill="1" applyAlignment="1">
      <alignment horizontal="left" vertical="center" wrapText="1"/>
    </xf>
    <xf numFmtId="0" fontId="2" fillId="6" borderId="0" xfId="3" applyFont="1" applyFill="1" applyAlignment="1">
      <alignment horizontal="left" vertical="center" wrapText="1" indent="1"/>
    </xf>
    <xf numFmtId="0" fontId="2" fillId="6" borderId="15" xfId="3" applyFont="1" applyFill="1" applyBorder="1" applyAlignment="1">
      <alignment horizontal="left" vertical="center" wrapText="1" indent="1"/>
    </xf>
    <xf numFmtId="0" fontId="22" fillId="6" borderId="0" xfId="3" applyFont="1" applyFill="1" applyAlignment="1">
      <alignment vertical="center" wrapText="1"/>
    </xf>
    <xf numFmtId="0" fontId="2" fillId="6" borderId="0" xfId="3" applyFont="1" applyFill="1" applyAlignment="1">
      <alignment horizontal="left" vertical="center" wrapText="1" indent="2"/>
    </xf>
    <xf numFmtId="0" fontId="22" fillId="6" borderId="25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74" fillId="10" borderId="0" xfId="0" applyFont="1" applyFill="1" applyAlignment="1">
      <alignment vertical="center" wrapText="1"/>
    </xf>
    <xf numFmtId="0" fontId="9" fillId="6" borderId="15" xfId="7" applyFont="1" applyFill="1" applyBorder="1" applyAlignment="1">
      <alignment horizontal="right" vertical="center" wrapText="1" indent="1"/>
    </xf>
    <xf numFmtId="0" fontId="9" fillId="6" borderId="14" xfId="7" applyFont="1" applyFill="1" applyBorder="1" applyAlignment="1">
      <alignment horizontal="right" vertical="center" wrapText="1" indent="1"/>
    </xf>
    <xf numFmtId="0" fontId="9" fillId="6" borderId="23" xfId="7" applyFont="1" applyFill="1" applyBorder="1" applyAlignment="1">
      <alignment horizontal="right" vertical="center" wrapText="1" indent="1"/>
    </xf>
    <xf numFmtId="0" fontId="7" fillId="0" borderId="0" xfId="7" applyFont="1"/>
    <xf numFmtId="0" fontId="83" fillId="6" borderId="0" xfId="7" applyFont="1" applyFill="1" applyAlignment="1">
      <alignment vertical="center" wrapText="1"/>
    </xf>
    <xf numFmtId="164" fontId="83" fillId="6" borderId="0" xfId="7" applyNumberFormat="1" applyFont="1" applyFill="1" applyAlignment="1">
      <alignment horizontal="right" vertical="center" wrapText="1" indent="1"/>
    </xf>
    <xf numFmtId="165" fontId="83" fillId="4" borderId="16" xfId="7" applyNumberFormat="1" applyFont="1" applyFill="1" applyBorder="1" applyAlignment="1">
      <alignment horizontal="right" vertical="center" wrapText="1" indent="1"/>
    </xf>
    <xf numFmtId="164" fontId="83" fillId="6" borderId="24" xfId="7" applyNumberFormat="1" applyFont="1" applyFill="1" applyBorder="1" applyAlignment="1">
      <alignment horizontal="right" vertical="center" wrapText="1" indent="1"/>
    </xf>
    <xf numFmtId="1" fontId="83" fillId="6" borderId="0" xfId="7" applyNumberFormat="1" applyFont="1" applyFill="1" applyAlignment="1">
      <alignment horizontal="right" vertical="center" wrapText="1" indent="1"/>
    </xf>
    <xf numFmtId="0" fontId="88" fillId="6" borderId="15" xfId="7" applyFont="1" applyFill="1" applyBorder="1" applyAlignment="1">
      <alignment horizontal="left" vertical="center" wrapText="1"/>
    </xf>
    <xf numFmtId="164" fontId="88" fillId="6" borderId="15" xfId="7" applyNumberFormat="1" applyFont="1" applyFill="1" applyBorder="1" applyAlignment="1">
      <alignment horizontal="right" vertical="center" wrapText="1" indent="1"/>
    </xf>
    <xf numFmtId="165" fontId="88" fillId="4" borderId="14" xfId="7" applyNumberFormat="1" applyFont="1" applyFill="1" applyBorder="1" applyAlignment="1">
      <alignment horizontal="right" vertical="center" wrapText="1" indent="1"/>
    </xf>
    <xf numFmtId="164" fontId="88" fillId="6" borderId="23" xfId="7" applyNumberFormat="1" applyFont="1" applyFill="1" applyBorder="1" applyAlignment="1">
      <alignment horizontal="right" vertical="center" wrapText="1" indent="1"/>
    </xf>
    <xf numFmtId="1" fontId="88" fillId="6" borderId="15" xfId="7" applyNumberFormat="1" applyFont="1" applyFill="1" applyBorder="1" applyAlignment="1">
      <alignment horizontal="right" vertical="center" wrapText="1" indent="1"/>
    </xf>
    <xf numFmtId="0" fontId="83" fillId="6" borderId="0" xfId="7" applyFont="1" applyFill="1" applyAlignment="1">
      <alignment horizontal="left" vertical="center" wrapText="1"/>
    </xf>
    <xf numFmtId="0" fontId="88" fillId="6" borderId="20" xfId="7" applyFont="1" applyFill="1" applyBorder="1" applyAlignment="1">
      <alignment horizontal="left" vertical="center" wrapText="1"/>
    </xf>
    <xf numFmtId="164" fontId="88" fillId="6" borderId="20" xfId="7" applyNumberFormat="1" applyFont="1" applyFill="1" applyBorder="1" applyAlignment="1">
      <alignment horizontal="right" vertical="center" wrapText="1" indent="1"/>
    </xf>
    <xf numFmtId="1" fontId="88" fillId="4" borderId="19" xfId="7" applyNumberFormat="1" applyFont="1" applyFill="1" applyBorder="1" applyAlignment="1">
      <alignment horizontal="right" vertical="center" wrapText="1" indent="1"/>
    </xf>
    <xf numFmtId="164" fontId="88" fillId="6" borderId="37" xfId="7" applyNumberFormat="1" applyFont="1" applyFill="1" applyBorder="1" applyAlignment="1">
      <alignment horizontal="right" vertical="center" wrapText="1" indent="1"/>
    </xf>
    <xf numFmtId="1" fontId="88" fillId="6" borderId="20" xfId="7" applyNumberFormat="1" applyFont="1" applyFill="1" applyBorder="1" applyAlignment="1">
      <alignment horizontal="right" vertical="center" wrapText="1" indent="1"/>
    </xf>
    <xf numFmtId="0" fontId="96" fillId="0" borderId="0" xfId="7" applyFont="1"/>
    <xf numFmtId="0" fontId="97" fillId="0" borderId="0" xfId="7" applyFont="1"/>
    <xf numFmtId="0" fontId="21" fillId="6" borderId="0" xfId="3" applyFont="1" applyFill="1" applyAlignment="1">
      <alignment vertical="center" wrapText="1"/>
    </xf>
    <xf numFmtId="0" fontId="5" fillId="6" borderId="0" xfId="3" applyFont="1" applyFill="1" applyAlignment="1">
      <alignment horizontal="left" vertical="center" wrapText="1" indent="1"/>
    </xf>
    <xf numFmtId="0" fontId="5" fillId="6" borderId="15" xfId="3" applyFont="1" applyFill="1" applyBorder="1" applyAlignment="1">
      <alignment horizontal="left" vertical="center" wrapText="1" indent="1"/>
    </xf>
    <xf numFmtId="0" fontId="5" fillId="6" borderId="20" xfId="3" applyFont="1" applyFill="1" applyBorder="1" applyAlignment="1">
      <alignment horizontal="left" vertical="center" wrapText="1" indent="1"/>
    </xf>
    <xf numFmtId="0" fontId="0" fillId="0" borderId="105" xfId="0" applyBorder="1"/>
    <xf numFmtId="49" fontId="14" fillId="6" borderId="15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164" fontId="10" fillId="6" borderId="24" xfId="0" applyNumberFormat="1" applyFont="1" applyFill="1" applyBorder="1" applyAlignment="1">
      <alignment horizontal="right" vertical="top" wrapText="1" indent="1"/>
    </xf>
    <xf numFmtId="164" fontId="10" fillId="6" borderId="0" xfId="0" applyNumberFormat="1" applyFont="1" applyFill="1" applyAlignment="1">
      <alignment horizontal="right" vertical="top" wrapText="1" indent="1"/>
    </xf>
    <xf numFmtId="3" fontId="10" fillId="6" borderId="0" xfId="0" applyNumberFormat="1" applyFont="1" applyFill="1" applyAlignment="1">
      <alignment horizontal="right" vertical="top" wrapText="1" indent="1"/>
    </xf>
    <xf numFmtId="49" fontId="10" fillId="6" borderId="18" xfId="0" applyNumberFormat="1" applyFont="1" applyFill="1" applyBorder="1" applyAlignment="1">
      <alignment vertical="top" wrapText="1"/>
    </xf>
    <xf numFmtId="0" fontId="10" fillId="6" borderId="18" xfId="0" applyFont="1" applyFill="1" applyBorder="1" applyAlignment="1">
      <alignment vertical="top" wrapText="1"/>
    </xf>
    <xf numFmtId="164" fontId="10" fillId="6" borderId="67" xfId="0" applyNumberFormat="1" applyFont="1" applyFill="1" applyBorder="1" applyAlignment="1">
      <alignment horizontal="right" vertical="top" wrapText="1" indent="1"/>
    </xf>
    <xf numFmtId="164" fontId="10" fillId="6" borderId="18" xfId="0" applyNumberFormat="1" applyFont="1" applyFill="1" applyBorder="1" applyAlignment="1">
      <alignment horizontal="right" vertical="top" wrapText="1" indent="1"/>
    </xf>
    <xf numFmtId="3" fontId="10" fillId="6" borderId="18" xfId="0" applyNumberFormat="1" applyFont="1" applyFill="1" applyBorder="1" applyAlignment="1">
      <alignment horizontal="right" vertical="top" wrapText="1" indent="1"/>
    </xf>
    <xf numFmtId="49" fontId="9" fillId="6" borderId="0" xfId="0" applyNumberFormat="1" applyFont="1" applyFill="1" applyAlignment="1">
      <alignment vertical="top" wrapText="1"/>
    </xf>
    <xf numFmtId="0" fontId="9" fillId="6" borderId="0" xfId="0" applyFont="1" applyFill="1" applyAlignment="1">
      <alignment vertical="top" wrapText="1"/>
    </xf>
    <xf numFmtId="164" fontId="9" fillId="6" borderId="24" xfId="0" applyNumberFormat="1" applyFont="1" applyFill="1" applyBorder="1" applyAlignment="1">
      <alignment horizontal="right" vertical="top" wrapText="1" indent="1"/>
    </xf>
    <xf numFmtId="164" fontId="9" fillId="6" borderId="0" xfId="0" applyNumberFormat="1" applyFont="1" applyFill="1" applyAlignment="1">
      <alignment horizontal="right" vertical="top" wrapText="1" indent="1"/>
    </xf>
    <xf numFmtId="3" fontId="9" fillId="6" borderId="0" xfId="0" applyNumberFormat="1" applyFont="1" applyFill="1" applyAlignment="1">
      <alignment horizontal="right" vertical="top" wrapText="1" indent="1"/>
    </xf>
    <xf numFmtId="49" fontId="9" fillId="6" borderId="15" xfId="0" applyNumberFormat="1" applyFont="1" applyFill="1" applyBorder="1" applyAlignment="1">
      <alignment vertical="top" wrapText="1"/>
    </xf>
    <xf numFmtId="0" fontId="9" fillId="6" borderId="15" xfId="0" applyFont="1" applyFill="1" applyBorder="1" applyAlignment="1">
      <alignment vertical="top" wrapText="1"/>
    </xf>
    <xf numFmtId="164" fontId="9" fillId="6" borderId="23" xfId="0" applyNumberFormat="1" applyFont="1" applyFill="1" applyBorder="1" applyAlignment="1">
      <alignment horizontal="right" vertical="top" wrapText="1" indent="1"/>
    </xf>
    <xf numFmtId="164" fontId="9" fillId="6" borderId="15" xfId="0" applyNumberFormat="1" applyFont="1" applyFill="1" applyBorder="1" applyAlignment="1">
      <alignment horizontal="right" vertical="top" wrapText="1" indent="1"/>
    </xf>
    <xf numFmtId="49" fontId="9" fillId="6" borderId="20" xfId="0" applyNumberFormat="1" applyFont="1" applyFill="1" applyBorder="1" applyAlignment="1">
      <alignment vertical="top" wrapText="1"/>
    </xf>
    <xf numFmtId="0" fontId="9" fillId="6" borderId="20" xfId="0" applyFont="1" applyFill="1" applyBorder="1" applyAlignment="1">
      <alignment vertical="top" wrapText="1"/>
    </xf>
    <xf numFmtId="164" fontId="9" fillId="6" borderId="37" xfId="0" applyNumberFormat="1" applyFont="1" applyFill="1" applyBorder="1" applyAlignment="1">
      <alignment horizontal="right" vertical="top" wrapText="1" indent="1"/>
    </xf>
    <xf numFmtId="164" fontId="9" fillId="6" borderId="20" xfId="0" applyNumberFormat="1" applyFont="1" applyFill="1" applyBorder="1" applyAlignment="1">
      <alignment horizontal="right" vertical="top" wrapText="1" indent="1"/>
    </xf>
    <xf numFmtId="3" fontId="9" fillId="6" borderId="20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6" borderId="23" xfId="0" applyNumberFormat="1" applyFont="1" applyFill="1" applyBorder="1" applyAlignment="1">
      <alignment horizontal="center" vertical="center" wrapText="1"/>
    </xf>
    <xf numFmtId="49" fontId="21" fillId="6" borderId="15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164" fontId="21" fillId="6" borderId="24" xfId="0" applyNumberFormat="1" applyFont="1" applyFill="1" applyBorder="1" applyAlignment="1">
      <alignment horizontal="right" vertical="center" wrapText="1" indent="1"/>
    </xf>
    <xf numFmtId="164" fontId="21" fillId="6" borderId="0" xfId="0" applyNumberFormat="1" applyFont="1" applyFill="1" applyAlignment="1">
      <alignment horizontal="right" vertical="center" wrapText="1" indent="1"/>
    </xf>
    <xf numFmtId="0" fontId="5" fillId="6" borderId="0" xfId="0" applyFont="1" applyFill="1" applyAlignment="1">
      <alignment horizontal="left" vertical="center" wrapText="1"/>
    </xf>
    <xf numFmtId="164" fontId="5" fillId="6" borderId="0" xfId="0" applyNumberFormat="1" applyFont="1" applyFill="1" applyAlignment="1">
      <alignment horizontal="right" vertical="center" wrapText="1" indent="1"/>
    </xf>
    <xf numFmtId="0" fontId="5" fillId="6" borderId="20" xfId="0" applyFont="1" applyFill="1" applyBorder="1" applyAlignment="1">
      <alignment horizontal="left" vertical="center" wrapText="1"/>
    </xf>
    <xf numFmtId="164" fontId="5" fillId="6" borderId="37" xfId="2" applyNumberFormat="1" applyFont="1" applyFill="1" applyBorder="1" applyAlignment="1">
      <alignment horizontal="right" vertical="center" wrapText="1" indent="1"/>
    </xf>
    <xf numFmtId="164" fontId="5" fillId="6" borderId="20" xfId="2" applyNumberFormat="1" applyFont="1" applyFill="1" applyBorder="1" applyAlignment="1">
      <alignment horizontal="right" vertical="center" wrapText="1" indent="1"/>
    </xf>
    <xf numFmtId="0" fontId="74" fillId="10" borderId="0" xfId="7" applyFont="1" applyFill="1" applyAlignment="1">
      <alignment horizontal="right" vertical="center"/>
    </xf>
    <xf numFmtId="49" fontId="21" fillId="6" borderId="23" xfId="0" applyNumberFormat="1" applyFont="1" applyFill="1" applyBorder="1" applyAlignment="1">
      <alignment horizontal="right" vertical="center" wrapText="1" indent="1"/>
    </xf>
    <xf numFmtId="49" fontId="21" fillId="6" borderId="15" xfId="0" applyNumberFormat="1" applyFont="1" applyFill="1" applyBorder="1" applyAlignment="1">
      <alignment horizontal="right" vertical="center" wrapText="1" indent="1"/>
    </xf>
    <xf numFmtId="0" fontId="21" fillId="6" borderId="18" xfId="0" applyFont="1" applyFill="1" applyBorder="1" applyAlignment="1">
      <alignment horizontal="left" vertical="center" wrapText="1"/>
    </xf>
    <xf numFmtId="164" fontId="21" fillId="6" borderId="67" xfId="0" applyNumberFormat="1" applyFont="1" applyFill="1" applyBorder="1" applyAlignment="1">
      <alignment horizontal="right" vertical="center" wrapText="1" indent="1"/>
    </xf>
    <xf numFmtId="164" fontId="21" fillId="6" borderId="18" xfId="0" applyNumberFormat="1" applyFont="1" applyFill="1" applyBorder="1" applyAlignment="1">
      <alignment horizontal="right" vertical="center" wrapText="1" indent="1"/>
    </xf>
    <xf numFmtId="3" fontId="21" fillId="6" borderId="18" xfId="0" applyNumberFormat="1" applyFont="1" applyFill="1" applyBorder="1" applyAlignment="1">
      <alignment horizontal="right" vertical="center" wrapText="1" indent="1"/>
    </xf>
    <xf numFmtId="0" fontId="21" fillId="4" borderId="15" xfId="0" applyFont="1" applyFill="1" applyBorder="1" applyAlignment="1">
      <alignment horizontal="left" vertical="center" wrapText="1"/>
    </xf>
    <xf numFmtId="166" fontId="21" fillId="4" borderId="23" xfId="2" applyNumberFormat="1" applyFont="1" applyFill="1" applyBorder="1" applyAlignment="1">
      <alignment horizontal="right" vertical="center" wrapText="1" indent="1"/>
    </xf>
    <xf numFmtId="166" fontId="21" fillId="4" borderId="15" xfId="2" applyNumberFormat="1" applyFont="1" applyFill="1" applyBorder="1" applyAlignment="1">
      <alignment horizontal="right" vertical="center" wrapText="1" indent="1"/>
    </xf>
    <xf numFmtId="3" fontId="21" fillId="4" borderId="15" xfId="0" applyNumberFormat="1" applyFont="1" applyFill="1" applyBorder="1" applyAlignment="1">
      <alignment horizontal="right" vertical="center" wrapText="1" indent="1"/>
    </xf>
    <xf numFmtId="0" fontId="21" fillId="4" borderId="20" xfId="0" applyFont="1" applyFill="1" applyBorder="1" applyAlignment="1">
      <alignment horizontal="left" vertical="center" wrapText="1"/>
    </xf>
    <xf numFmtId="166" fontId="21" fillId="4" borderId="37" xfId="2" applyNumberFormat="1" applyFont="1" applyFill="1" applyBorder="1" applyAlignment="1">
      <alignment horizontal="right" vertical="center" wrapText="1" indent="1"/>
    </xf>
    <xf numFmtId="166" fontId="21" fillId="4" borderId="20" xfId="2" applyNumberFormat="1" applyFont="1" applyFill="1" applyBorder="1" applyAlignment="1">
      <alignment horizontal="right" vertical="center" wrapText="1" indent="1"/>
    </xf>
    <xf numFmtId="3" fontId="21" fillId="4" borderId="20" xfId="0" applyNumberFormat="1" applyFont="1" applyFill="1" applyBorder="1" applyAlignment="1">
      <alignment horizontal="right" vertical="center" wrapText="1" indent="1"/>
    </xf>
    <xf numFmtId="166" fontId="10" fillId="6" borderId="26" xfId="2" applyNumberFormat="1" applyFont="1" applyFill="1" applyBorder="1" applyAlignment="1">
      <alignment horizontal="right" vertical="center" wrapText="1" indent="1"/>
    </xf>
    <xf numFmtId="166" fontId="10" fillId="6" borderId="25" xfId="2" applyNumberFormat="1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left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77" fillId="10" borderId="0" xfId="0" applyFont="1" applyFill="1" applyAlignment="1">
      <alignment horizontal="right" vertical="center"/>
    </xf>
    <xf numFmtId="49" fontId="10" fillId="6" borderId="54" xfId="0" applyNumberFormat="1" applyFont="1" applyFill="1" applyBorder="1" applyAlignment="1">
      <alignment horizontal="center" vertical="center" wrapText="1"/>
    </xf>
    <xf numFmtId="49" fontId="10" fillId="6" borderId="52" xfId="0" applyNumberFormat="1" applyFont="1" applyFill="1" applyBorder="1" applyAlignment="1">
      <alignment horizontal="center" vertical="center" wrapText="1"/>
    </xf>
    <xf numFmtId="0" fontId="88" fillId="6" borderId="70" xfId="0" applyFont="1" applyFill="1" applyBorder="1" applyAlignment="1">
      <alignment vertical="center" wrapText="1"/>
    </xf>
    <xf numFmtId="0" fontId="83" fillId="6" borderId="121" xfId="0" applyFont="1" applyFill="1" applyBorder="1" applyAlignment="1">
      <alignment horizontal="center" vertical="center" wrapText="1"/>
    </xf>
    <xf numFmtId="49" fontId="10" fillId="6" borderId="41" xfId="0" applyNumberFormat="1" applyFont="1" applyFill="1" applyBorder="1" applyAlignment="1">
      <alignment horizontal="right" vertical="center" wrapText="1" indent="1"/>
    </xf>
    <xf numFmtId="49" fontId="10" fillId="6" borderId="40" xfId="0" applyNumberFormat="1" applyFont="1" applyFill="1" applyBorder="1" applyAlignment="1">
      <alignment horizontal="right" vertical="center" wrapText="1" indent="1"/>
    </xf>
    <xf numFmtId="0" fontId="9" fillId="6" borderId="92" xfId="0" applyFont="1" applyFill="1" applyBorder="1" applyAlignment="1">
      <alignment vertical="center" wrapText="1"/>
    </xf>
    <xf numFmtId="164" fontId="9" fillId="6" borderId="98" xfId="0" applyNumberFormat="1" applyFont="1" applyFill="1" applyBorder="1" applyAlignment="1">
      <alignment horizontal="right" vertical="center" wrapText="1" indent="1"/>
    </xf>
    <xf numFmtId="164" fontId="9" fillId="6" borderId="92" xfId="0" applyNumberFormat="1" applyFont="1" applyFill="1" applyBorder="1" applyAlignment="1">
      <alignment horizontal="right" vertical="center" wrapText="1" indent="1"/>
    </xf>
    <xf numFmtId="166" fontId="10" fillId="6" borderId="44" xfId="0" applyNumberFormat="1" applyFont="1" applyFill="1" applyBorder="1" applyAlignment="1">
      <alignment horizontal="right" vertical="center" wrapText="1" indent="1"/>
    </xf>
    <xf numFmtId="166" fontId="10" fillId="6" borderId="0" xfId="0" applyNumberFormat="1" applyFont="1" applyFill="1" applyAlignment="1">
      <alignment horizontal="right" vertical="center" wrapText="1" indent="1"/>
    </xf>
    <xf numFmtId="0" fontId="10" fillId="6" borderId="95" xfId="0" applyFont="1" applyFill="1" applyBorder="1" applyAlignment="1">
      <alignment vertical="center" wrapText="1"/>
    </xf>
    <xf numFmtId="166" fontId="10" fillId="6" borderId="103" xfId="0" applyNumberFormat="1" applyFont="1" applyFill="1" applyBorder="1" applyAlignment="1">
      <alignment horizontal="right" vertical="center" wrapText="1" indent="1"/>
    </xf>
    <xf numFmtId="166" fontId="10" fillId="6" borderId="95" xfId="0" applyNumberFormat="1" applyFont="1" applyFill="1" applyBorder="1" applyAlignment="1">
      <alignment horizontal="right" vertical="center" wrapText="1" indent="1"/>
    </xf>
    <xf numFmtId="164" fontId="10" fillId="6" borderId="27" xfId="0" applyNumberFormat="1" applyFont="1" applyFill="1" applyBorder="1" applyAlignment="1">
      <alignment horizontal="right" vertical="center" wrapText="1" indent="1"/>
    </xf>
    <xf numFmtId="164" fontId="10" fillId="6" borderId="25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74" fillId="10" borderId="0" xfId="7" applyFont="1" applyFill="1" applyAlignment="1">
      <alignment horizontal="left" vertical="center"/>
    </xf>
    <xf numFmtId="4" fontId="73" fillId="0" borderId="0" xfId="0" applyNumberFormat="1" applyFont="1"/>
    <xf numFmtId="0" fontId="30" fillId="0" borderId="0" xfId="24" applyFont="1"/>
    <xf numFmtId="4" fontId="69" fillId="0" borderId="0" xfId="24" applyNumberFormat="1" applyFont="1" applyAlignment="1" applyProtection="1">
      <alignment horizontal="right" vertical="center" wrapText="1"/>
      <protection locked="0"/>
    </xf>
    <xf numFmtId="4" fontId="73" fillId="0" borderId="0" xfId="24" applyNumberFormat="1" applyFont="1" applyAlignment="1" applyProtection="1">
      <alignment horizontal="right" vertical="center" wrapText="1"/>
      <protection locked="0"/>
    </xf>
    <xf numFmtId="3" fontId="30" fillId="0" borderId="0" xfId="24" applyNumberFormat="1" applyFont="1"/>
    <xf numFmtId="0" fontId="30" fillId="0" borderId="0" xfId="0" applyFont="1"/>
    <xf numFmtId="0" fontId="0" fillId="0" borderId="0" xfId="0" applyAlignment="1">
      <alignment vertical="center"/>
    </xf>
    <xf numFmtId="164" fontId="93" fillId="0" borderId="0" xfId="0" applyNumberFormat="1" applyFont="1" applyAlignment="1">
      <alignment horizontal="right" vertical="center" wrapText="1"/>
    </xf>
    <xf numFmtId="0" fontId="22" fillId="6" borderId="126" xfId="0" applyFont="1" applyFill="1" applyBorder="1" applyAlignment="1">
      <alignment horizontal="center" vertical="center" wrapText="1"/>
    </xf>
    <xf numFmtId="0" fontId="22" fillId="6" borderId="129" xfId="0" applyFont="1" applyFill="1" applyBorder="1" applyAlignment="1">
      <alignment horizontal="center" vertical="center" wrapText="1"/>
    </xf>
    <xf numFmtId="164" fontId="12" fillId="6" borderId="130" xfId="0" applyNumberFormat="1" applyFont="1" applyFill="1" applyBorder="1" applyAlignment="1">
      <alignment horizontal="right" vertical="center" wrapText="1" indent="1"/>
    </xf>
    <xf numFmtId="0" fontId="12" fillId="6" borderId="131" xfId="0" applyFont="1" applyFill="1" applyBorder="1" applyAlignment="1">
      <alignment horizontal="right" vertical="center" wrapText="1"/>
    </xf>
    <xf numFmtId="164" fontId="12" fillId="6" borderId="132" xfId="0" applyNumberFormat="1" applyFont="1" applyFill="1" applyBorder="1" applyAlignment="1">
      <alignment horizontal="right" vertical="center" wrapText="1" indent="1"/>
    </xf>
    <xf numFmtId="0" fontId="12" fillId="6" borderId="133" xfId="0" applyFont="1" applyFill="1" applyBorder="1" applyAlignment="1">
      <alignment horizontal="right" vertical="center" wrapText="1"/>
    </xf>
    <xf numFmtId="0" fontId="12" fillId="6" borderId="134" xfId="0" applyFont="1" applyFill="1" applyBorder="1" applyAlignment="1">
      <alignment horizontal="left" vertical="center" wrapText="1"/>
    </xf>
    <xf numFmtId="164" fontId="12" fillId="6" borderId="135" xfId="0" applyNumberFormat="1" applyFont="1" applyFill="1" applyBorder="1" applyAlignment="1">
      <alignment horizontal="right" vertical="center" wrapText="1" indent="1"/>
    </xf>
    <xf numFmtId="0" fontId="12" fillId="6" borderId="136" xfId="0" applyFont="1" applyFill="1" applyBorder="1" applyAlignment="1">
      <alignment horizontal="right" vertical="center" wrapText="1"/>
    </xf>
    <xf numFmtId="0" fontId="12" fillId="6" borderId="113" xfId="0" applyFont="1" applyFill="1" applyBorder="1" applyAlignment="1">
      <alignment vertical="center" wrapText="1"/>
    </xf>
    <xf numFmtId="0" fontId="12" fillId="6" borderId="137" xfId="0" applyFont="1" applyFill="1" applyBorder="1" applyAlignment="1">
      <alignment vertical="center" wrapText="1"/>
    </xf>
    <xf numFmtId="0" fontId="16" fillId="6" borderId="137" xfId="0" applyFont="1" applyFill="1" applyBorder="1" applyAlignment="1">
      <alignment horizontal="right" vertical="center" wrapText="1"/>
    </xf>
    <xf numFmtId="164" fontId="16" fillId="6" borderId="137" xfId="0" applyNumberFormat="1" applyFont="1" applyFill="1" applyBorder="1" applyAlignment="1">
      <alignment horizontal="right" vertical="center" wrapText="1" indent="1"/>
    </xf>
    <xf numFmtId="0" fontId="9" fillId="6" borderId="139" xfId="0" applyFont="1" applyFill="1" applyBorder="1" applyAlignment="1">
      <alignment vertical="center" wrapText="1"/>
    </xf>
    <xf numFmtId="164" fontId="9" fillId="6" borderId="110" xfId="0" applyNumberFormat="1" applyFont="1" applyFill="1" applyBorder="1" applyAlignment="1">
      <alignment horizontal="right" vertical="center" wrapText="1" indent="1"/>
    </xf>
    <xf numFmtId="164" fontId="9" fillId="6" borderId="139" xfId="0" applyNumberFormat="1" applyFont="1" applyFill="1" applyBorder="1" applyAlignment="1">
      <alignment horizontal="right" vertical="center" wrapText="1" indent="1"/>
    </xf>
    <xf numFmtId="164" fontId="9" fillId="6" borderId="140" xfId="0" applyNumberFormat="1" applyFont="1" applyFill="1" applyBorder="1" applyAlignment="1">
      <alignment horizontal="right" vertical="center" wrapText="1" indent="1"/>
    </xf>
    <xf numFmtId="165" fontId="9" fillId="6" borderId="139" xfId="0" applyNumberFormat="1" applyFont="1" applyFill="1" applyBorder="1" applyAlignment="1">
      <alignment horizontal="right" vertical="center" wrapText="1" indent="1"/>
    </xf>
    <xf numFmtId="0" fontId="9" fillId="6" borderId="111" xfId="0" applyFont="1" applyFill="1" applyBorder="1" applyAlignment="1">
      <alignment vertical="center" wrapText="1"/>
    </xf>
    <xf numFmtId="164" fontId="9" fillId="6" borderId="141" xfId="0" applyNumberFormat="1" applyFont="1" applyFill="1" applyBorder="1" applyAlignment="1">
      <alignment horizontal="right" vertical="center" wrapText="1" indent="1"/>
    </xf>
    <xf numFmtId="164" fontId="9" fillId="6" borderId="111" xfId="0" applyNumberFormat="1" applyFont="1" applyFill="1" applyBorder="1" applyAlignment="1">
      <alignment horizontal="right" vertical="center" wrapText="1" indent="1"/>
    </xf>
    <xf numFmtId="164" fontId="9" fillId="6" borderId="142" xfId="0" applyNumberFormat="1" applyFont="1" applyFill="1" applyBorder="1" applyAlignment="1">
      <alignment horizontal="right" vertical="center" wrapText="1" indent="1"/>
    </xf>
    <xf numFmtId="165" fontId="9" fillId="6" borderId="111" xfId="0" applyNumberFormat="1" applyFont="1" applyFill="1" applyBorder="1" applyAlignment="1">
      <alignment horizontal="right" vertical="center" wrapText="1" indent="1"/>
    </xf>
    <xf numFmtId="0" fontId="9" fillId="6" borderId="143" xfId="0" applyFont="1" applyFill="1" applyBorder="1" applyAlignment="1">
      <alignment vertical="center" wrapText="1"/>
    </xf>
    <xf numFmtId="164" fontId="9" fillId="6" borderId="144" xfId="0" applyNumberFormat="1" applyFont="1" applyFill="1" applyBorder="1" applyAlignment="1">
      <alignment horizontal="right" vertical="center" wrapText="1" indent="1"/>
    </xf>
    <xf numFmtId="164" fontId="9" fillId="6" borderId="143" xfId="0" applyNumberFormat="1" applyFont="1" applyFill="1" applyBorder="1" applyAlignment="1">
      <alignment horizontal="right" vertical="center" wrapText="1" indent="1"/>
    </xf>
    <xf numFmtId="164" fontId="9" fillId="6" borderId="145" xfId="0" applyNumberFormat="1" applyFont="1" applyFill="1" applyBorder="1" applyAlignment="1">
      <alignment horizontal="right" vertical="center" wrapText="1" indent="1"/>
    </xf>
    <xf numFmtId="165" fontId="9" fillId="6" borderId="143" xfId="0" applyNumberFormat="1" applyFont="1" applyFill="1" applyBorder="1" applyAlignment="1">
      <alignment horizontal="right" vertical="center" wrapText="1" indent="1"/>
    </xf>
    <xf numFmtId="165" fontId="10" fillId="6" borderId="25" xfId="0" applyNumberFormat="1" applyFont="1" applyFill="1" applyBorder="1" applyAlignment="1">
      <alignment horizontal="right" vertical="center" wrapText="1" indent="1"/>
    </xf>
    <xf numFmtId="0" fontId="9" fillId="6" borderId="123" xfId="0" applyFont="1" applyFill="1" applyBorder="1" applyAlignment="1">
      <alignment vertical="center" wrapText="1"/>
    </xf>
    <xf numFmtId="164" fontId="9" fillId="6" borderId="122" xfId="0" applyNumberFormat="1" applyFont="1" applyFill="1" applyBorder="1" applyAlignment="1">
      <alignment horizontal="right" vertical="center" wrapText="1" indent="1"/>
    </xf>
    <xf numFmtId="164" fontId="9" fillId="6" borderId="123" xfId="0" applyNumberFormat="1" applyFont="1" applyFill="1" applyBorder="1" applyAlignment="1">
      <alignment horizontal="right" vertical="center" wrapText="1" indent="1"/>
    </xf>
    <xf numFmtId="164" fontId="9" fillId="6" borderId="146" xfId="0" applyNumberFormat="1" applyFont="1" applyFill="1" applyBorder="1" applyAlignment="1">
      <alignment horizontal="right" vertical="center" wrapText="1" indent="1"/>
    </xf>
    <xf numFmtId="165" fontId="9" fillId="6" borderId="123" xfId="0" applyNumberFormat="1" applyFont="1" applyFill="1" applyBorder="1" applyAlignment="1">
      <alignment horizontal="right" vertical="center" wrapText="1" indent="1"/>
    </xf>
    <xf numFmtId="164" fontId="10" fillId="6" borderId="67" xfId="0" applyNumberFormat="1" applyFont="1" applyFill="1" applyBorder="1" applyAlignment="1">
      <alignment horizontal="right" vertical="center" wrapText="1" indent="1"/>
    </xf>
    <xf numFmtId="164" fontId="10" fillId="6" borderId="18" xfId="0" applyNumberFormat="1" applyFont="1" applyFill="1" applyBorder="1" applyAlignment="1">
      <alignment horizontal="right" vertical="center" wrapText="1" indent="1"/>
    </xf>
    <xf numFmtId="164" fontId="10" fillId="6" borderId="17" xfId="0" applyNumberFormat="1" applyFont="1" applyFill="1" applyBorder="1" applyAlignment="1">
      <alignment horizontal="right" vertical="center" wrapText="1" indent="1"/>
    </xf>
    <xf numFmtId="165" fontId="10" fillId="6" borderId="18" xfId="0" applyNumberFormat="1" applyFont="1" applyFill="1" applyBorder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49" fontId="10" fillId="0" borderId="31" xfId="0" applyNumberFormat="1" applyFont="1" applyBorder="1" applyAlignment="1">
      <alignment horizontal="right" vertical="center" wrapText="1" indent="1"/>
    </xf>
    <xf numFmtId="0" fontId="93" fillId="0" borderId="147" xfId="0" applyFont="1" applyBorder="1" applyAlignment="1">
      <alignment vertical="center" wrapText="1"/>
    </xf>
    <xf numFmtId="0" fontId="92" fillId="0" borderId="148" xfId="0" applyFont="1" applyBorder="1" applyAlignment="1">
      <alignment vertical="center"/>
    </xf>
    <xf numFmtId="4" fontId="2" fillId="6" borderId="24" xfId="3" applyNumberFormat="1" applyFont="1" applyFill="1" applyBorder="1" applyAlignment="1">
      <alignment horizontal="right" vertical="center" wrapText="1" indent="1"/>
    </xf>
    <xf numFmtId="4" fontId="2" fillId="6" borderId="0" xfId="3" applyNumberFormat="1" applyFont="1" applyFill="1" applyAlignment="1">
      <alignment horizontal="right" vertical="center" wrapText="1" indent="1"/>
    </xf>
    <xf numFmtId="4" fontId="2" fillId="6" borderId="16" xfId="3" applyNumberFormat="1" applyFont="1" applyFill="1" applyBorder="1" applyAlignment="1">
      <alignment horizontal="right" vertical="center" wrapText="1" indent="1"/>
    </xf>
    <xf numFmtId="4" fontId="2" fillId="6" borderId="23" xfId="3" applyNumberFormat="1" applyFont="1" applyFill="1" applyBorder="1" applyAlignment="1">
      <alignment horizontal="right" vertical="center" wrapText="1" indent="1"/>
    </xf>
    <xf numFmtId="4" fontId="2" fillId="6" borderId="15" xfId="3" applyNumberFormat="1" applyFont="1" applyFill="1" applyBorder="1" applyAlignment="1">
      <alignment horizontal="right" vertical="center" wrapText="1" indent="1"/>
    </xf>
    <xf numFmtId="4" fontId="2" fillId="6" borderId="14" xfId="3" applyNumberFormat="1" applyFont="1" applyFill="1" applyBorder="1" applyAlignment="1">
      <alignment horizontal="right" vertical="center" wrapText="1" indent="1"/>
    </xf>
    <xf numFmtId="4" fontId="22" fillId="6" borderId="24" xfId="3" applyNumberFormat="1" applyFont="1" applyFill="1" applyBorder="1" applyAlignment="1">
      <alignment horizontal="right" vertical="center" wrapText="1" indent="1"/>
    </xf>
    <xf numFmtId="4" fontId="22" fillId="6" borderId="0" xfId="3" applyNumberFormat="1" applyFont="1" applyFill="1" applyAlignment="1">
      <alignment horizontal="right" vertical="center" wrapText="1" indent="1"/>
    </xf>
    <xf numFmtId="4" fontId="22" fillId="6" borderId="16" xfId="3" applyNumberFormat="1" applyFont="1" applyFill="1" applyBorder="1" applyAlignment="1">
      <alignment horizontal="right" vertical="center" wrapText="1" indent="1"/>
    </xf>
    <xf numFmtId="4" fontId="22" fillId="6" borderId="26" xfId="3" applyNumberFormat="1" applyFont="1" applyFill="1" applyBorder="1" applyAlignment="1">
      <alignment horizontal="right" vertical="center" wrapText="1" indent="1"/>
    </xf>
    <xf numFmtId="4" fontId="22" fillId="6" borderId="25" xfId="3" applyNumberFormat="1" applyFont="1" applyFill="1" applyBorder="1" applyAlignment="1">
      <alignment horizontal="right" vertical="center" wrapText="1" indent="1"/>
    </xf>
    <xf numFmtId="4" fontId="22" fillId="6" borderId="27" xfId="3" applyNumberFormat="1" applyFont="1" applyFill="1" applyBorder="1" applyAlignment="1">
      <alignment horizontal="right" vertical="center" wrapText="1" indent="1"/>
    </xf>
    <xf numFmtId="4" fontId="5" fillId="6" borderId="24" xfId="3" applyNumberFormat="1" applyFont="1" applyFill="1" applyBorder="1" applyAlignment="1">
      <alignment horizontal="right" vertical="center" wrapText="1" indent="1"/>
    </xf>
    <xf numFmtId="4" fontId="5" fillId="6" borderId="0" xfId="3" applyNumberFormat="1" applyFont="1" applyFill="1" applyAlignment="1">
      <alignment horizontal="right" vertical="center" wrapText="1" indent="1"/>
    </xf>
    <xf numFmtId="4" fontId="5" fillId="6" borderId="16" xfId="3" applyNumberFormat="1" applyFont="1" applyFill="1" applyBorder="1" applyAlignment="1">
      <alignment horizontal="right" vertical="center" wrapText="1" indent="1"/>
    </xf>
    <xf numFmtId="4" fontId="21" fillId="6" borderId="24" xfId="3" applyNumberFormat="1" applyFont="1" applyFill="1" applyBorder="1" applyAlignment="1">
      <alignment horizontal="right" vertical="center" wrapText="1" indent="1"/>
    </xf>
    <xf numFmtId="4" fontId="21" fillId="6" borderId="0" xfId="3" applyNumberFormat="1" applyFont="1" applyFill="1" applyAlignment="1">
      <alignment horizontal="right" vertical="center" wrapText="1" indent="1"/>
    </xf>
    <xf numFmtId="4" fontId="21" fillId="6" borderId="16" xfId="3" applyNumberFormat="1" applyFont="1" applyFill="1" applyBorder="1" applyAlignment="1">
      <alignment horizontal="right" vertical="center" wrapText="1" indent="1"/>
    </xf>
    <xf numFmtId="4" fontId="5" fillId="6" borderId="23" xfId="3" applyNumberFormat="1" applyFont="1" applyFill="1" applyBorder="1" applyAlignment="1">
      <alignment horizontal="right" vertical="center" wrapText="1" indent="1"/>
    </xf>
    <xf numFmtId="4" fontId="5" fillId="6" borderId="15" xfId="3" applyNumberFormat="1" applyFont="1" applyFill="1" applyBorder="1" applyAlignment="1">
      <alignment horizontal="right" vertical="center" wrapText="1" indent="1"/>
    </xf>
    <xf numFmtId="4" fontId="5" fillId="6" borderId="14" xfId="3" applyNumberFormat="1" applyFont="1" applyFill="1" applyBorder="1" applyAlignment="1">
      <alignment horizontal="right" vertical="center" wrapText="1" indent="1"/>
    </xf>
    <xf numFmtId="4" fontId="5" fillId="6" borderId="37" xfId="3" applyNumberFormat="1" applyFont="1" applyFill="1" applyBorder="1" applyAlignment="1">
      <alignment horizontal="right" vertical="center" wrapText="1" indent="1"/>
    </xf>
    <xf numFmtId="4" fontId="5" fillId="6" borderId="20" xfId="3" applyNumberFormat="1" applyFont="1" applyFill="1" applyBorder="1" applyAlignment="1">
      <alignment horizontal="right" vertical="center" wrapText="1" indent="1"/>
    </xf>
    <xf numFmtId="4" fontId="5" fillId="6" borderId="19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3" fontId="21" fillId="4" borderId="0" xfId="0" applyNumberFormat="1" applyFont="1" applyFill="1" applyAlignment="1">
      <alignment horizontal="right"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 wrapText="1"/>
    </xf>
    <xf numFmtId="49" fontId="5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" fontId="5" fillId="4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49" fontId="21" fillId="2" borderId="156" xfId="0" applyNumberFormat="1" applyFont="1" applyFill="1" applyBorder="1" applyAlignment="1">
      <alignment horizontal="center" vertical="center" wrapText="1"/>
    </xf>
    <xf numFmtId="3" fontId="5" fillId="4" borderId="44" xfId="0" applyNumberFormat="1" applyFont="1" applyFill="1" applyBorder="1" applyAlignment="1">
      <alignment horizontal="right" vertical="center" wrapText="1"/>
    </xf>
    <xf numFmtId="3" fontId="21" fillId="0" borderId="44" xfId="0" applyNumberFormat="1" applyFont="1" applyBorder="1" applyAlignment="1">
      <alignment horizontal="right" vertical="center" wrapText="1"/>
    </xf>
    <xf numFmtId="3" fontId="21" fillId="4" borderId="44" xfId="0" applyNumberFormat="1" applyFont="1" applyFill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75" fillId="0" borderId="124" xfId="0" applyFont="1" applyBorder="1" applyAlignment="1">
      <alignment horizontal="center" vertical="center" wrapText="1"/>
    </xf>
    <xf numFmtId="0" fontId="75" fillId="0" borderId="125" xfId="0" applyFont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right" vertical="center" wrapText="1" indent="1"/>
    </xf>
    <xf numFmtId="3" fontId="16" fillId="6" borderId="138" xfId="0" applyNumberFormat="1" applyFont="1" applyFill="1" applyBorder="1" applyAlignment="1">
      <alignment horizontal="right" vertical="center" wrapText="1"/>
    </xf>
    <xf numFmtId="164" fontId="9" fillId="4" borderId="16" xfId="0" applyNumberFormat="1" applyFont="1" applyFill="1" applyBorder="1" applyAlignment="1">
      <alignment horizontal="right" vertical="center" wrapText="1" indent="1"/>
    </xf>
    <xf numFmtId="3" fontId="10" fillId="4" borderId="27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/>
    </xf>
    <xf numFmtId="1" fontId="10" fillId="4" borderId="51" xfId="0" applyNumberFormat="1" applyFont="1" applyFill="1" applyBorder="1" applyAlignment="1">
      <alignment vertical="center" wrapText="1"/>
    </xf>
    <xf numFmtId="165" fontId="9" fillId="4" borderId="5" xfId="0" applyNumberFormat="1" applyFont="1" applyFill="1" applyBorder="1" applyAlignment="1">
      <alignment horizontal="right" vertical="center" wrapText="1"/>
    </xf>
    <xf numFmtId="1" fontId="10" fillId="4" borderId="66" xfId="0" applyNumberFormat="1" applyFont="1" applyFill="1" applyBorder="1" applyAlignment="1">
      <alignment vertical="center" wrapText="1"/>
    </xf>
    <xf numFmtId="0" fontId="28" fillId="0" borderId="8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6" borderId="157" xfId="0" applyNumberFormat="1" applyFont="1" applyFill="1" applyBorder="1" applyAlignment="1">
      <alignment horizontal="right" vertical="top" wrapText="1" indent="1"/>
    </xf>
    <xf numFmtId="49" fontId="2" fillId="0" borderId="161" xfId="0" applyNumberFormat="1" applyFont="1" applyBorder="1" applyAlignment="1">
      <alignment horizontal="center" vertical="center"/>
    </xf>
    <xf numFmtId="49" fontId="2" fillId="0" borderId="161" xfId="0" applyNumberFormat="1" applyFont="1" applyBorder="1" applyAlignment="1">
      <alignment horizontal="center"/>
    </xf>
    <xf numFmtId="49" fontId="2" fillId="12" borderId="161" xfId="0" applyNumberFormat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right" vertical="center" wrapText="1" indent="1"/>
    </xf>
    <xf numFmtId="49" fontId="2" fillId="0" borderId="160" xfId="0" applyNumberFormat="1" applyFont="1" applyBorder="1" applyAlignment="1">
      <alignment horizontal="center" vertical="center"/>
    </xf>
    <xf numFmtId="4" fontId="2" fillId="0" borderId="158" xfId="0" applyNumberFormat="1" applyFont="1" applyBorder="1" applyAlignment="1">
      <alignment horizontal="right" vertical="center"/>
    </xf>
    <xf numFmtId="4" fontId="2" fillId="0" borderId="159" xfId="0" applyNumberFormat="1" applyFont="1" applyBorder="1" applyAlignment="1">
      <alignment horizontal="right" vertical="center"/>
    </xf>
    <xf numFmtId="4" fontId="2" fillId="12" borderId="159" xfId="0" applyNumberFormat="1" applyFont="1" applyFill="1" applyBorder="1" applyAlignment="1">
      <alignment horizontal="right" vertical="center"/>
    </xf>
    <xf numFmtId="164" fontId="10" fillId="6" borderId="18" xfId="2" applyNumberFormat="1" applyFont="1" applyFill="1" applyBorder="1" applyAlignment="1">
      <alignment horizontal="right" vertical="center" wrapText="1" indent="1"/>
    </xf>
    <xf numFmtId="164" fontId="10" fillId="6" borderId="25" xfId="2" applyNumberFormat="1" applyFont="1" applyFill="1" applyBorder="1" applyAlignment="1">
      <alignment horizontal="right" vertical="center" wrapText="1" indent="1"/>
    </xf>
    <xf numFmtId="165" fontId="10" fillId="4" borderId="17" xfId="0" applyNumberFormat="1" applyFont="1" applyFill="1" applyBorder="1" applyAlignment="1">
      <alignment horizontal="right" vertical="center" wrapText="1" indent="1"/>
    </xf>
    <xf numFmtId="3" fontId="9" fillId="6" borderId="18" xfId="0" applyNumberFormat="1" applyFont="1" applyFill="1" applyBorder="1" applyAlignment="1">
      <alignment horizontal="right" vertical="center" wrapText="1" indent="1"/>
    </xf>
    <xf numFmtId="0" fontId="34" fillId="3" borderId="0" xfId="0" applyFont="1" applyFill="1" applyAlignment="1">
      <alignment horizontal="left" vertical="center" wrapText="1"/>
    </xf>
    <xf numFmtId="0" fontId="9" fillId="6" borderId="45" xfId="0" applyFont="1" applyFill="1" applyBorder="1" applyAlignment="1">
      <alignment vertical="center" wrapText="1"/>
    </xf>
    <xf numFmtId="164" fontId="10" fillId="6" borderId="171" xfId="0" applyNumberFormat="1" applyFont="1" applyFill="1" applyBorder="1" applyAlignment="1">
      <alignment horizontal="right" vertical="center" wrapText="1" indent="1"/>
    </xf>
    <xf numFmtId="0" fontId="9" fillId="6" borderId="40" xfId="0" applyFont="1" applyFill="1" applyBorder="1" applyAlignment="1">
      <alignment horizontal="left" vertical="center" wrapText="1" indent="1"/>
    </xf>
    <xf numFmtId="3" fontId="10" fillId="6" borderId="170" xfId="0" applyNumberFormat="1" applyFont="1" applyFill="1" applyBorder="1" applyAlignment="1">
      <alignment horizontal="right" vertical="center" wrapText="1" indent="1"/>
    </xf>
    <xf numFmtId="0" fontId="10" fillId="6" borderId="170" xfId="0" applyFont="1" applyFill="1" applyBorder="1" applyAlignment="1">
      <alignment vertical="center" wrapText="1"/>
    </xf>
    <xf numFmtId="165" fontId="10" fillId="4" borderId="169" xfId="0" applyNumberFormat="1" applyFont="1" applyFill="1" applyBorder="1" applyAlignment="1">
      <alignment horizontal="right" vertical="center" wrapText="1" indent="1"/>
    </xf>
    <xf numFmtId="0" fontId="10" fillId="6" borderId="46" xfId="0" applyFont="1" applyFill="1" applyBorder="1" applyAlignment="1">
      <alignment vertical="center" wrapText="1"/>
    </xf>
    <xf numFmtId="0" fontId="80" fillId="10" borderId="0" xfId="0" applyFont="1" applyFill="1" applyAlignment="1">
      <alignment vertical="center" wrapText="1"/>
    </xf>
    <xf numFmtId="165" fontId="9" fillId="4" borderId="53" xfId="0" applyNumberFormat="1" applyFont="1" applyFill="1" applyBorder="1" applyAlignment="1">
      <alignment horizontal="right" vertical="center" wrapText="1" indent="1"/>
    </xf>
    <xf numFmtId="164" fontId="9" fillId="6" borderId="60" xfId="0" applyNumberFormat="1" applyFont="1" applyFill="1" applyBorder="1" applyAlignment="1">
      <alignment horizontal="right" vertical="center" wrapText="1" indent="1"/>
    </xf>
    <xf numFmtId="165" fontId="9" fillId="4" borderId="168" xfId="0" applyNumberFormat="1" applyFont="1" applyFill="1" applyBorder="1" applyAlignment="1">
      <alignment horizontal="right" vertical="center" wrapText="1" indent="1"/>
    </xf>
    <xf numFmtId="3" fontId="9" fillId="6" borderId="59" xfId="0" applyNumberFormat="1" applyFont="1" applyFill="1" applyBorder="1" applyAlignment="1">
      <alignment horizontal="right" vertical="center" wrapText="1" indent="1"/>
    </xf>
    <xf numFmtId="164" fontId="9" fillId="6" borderId="167" xfId="0" applyNumberFormat="1" applyFont="1" applyFill="1" applyBorder="1" applyAlignment="1">
      <alignment horizontal="right" vertical="center" wrapText="1" indent="1"/>
    </xf>
    <xf numFmtId="3" fontId="9" fillId="6" borderId="165" xfId="0" applyNumberFormat="1" applyFont="1" applyFill="1" applyBorder="1" applyAlignment="1">
      <alignment horizontal="right" vertical="center" wrapText="1" indent="1"/>
    </xf>
    <xf numFmtId="164" fontId="9" fillId="6" borderId="165" xfId="0" applyNumberFormat="1" applyFont="1" applyFill="1" applyBorder="1" applyAlignment="1">
      <alignment horizontal="right" vertical="center" wrapText="1" indent="1"/>
    </xf>
    <xf numFmtId="0" fontId="10" fillId="6" borderId="47" xfId="0" applyFont="1" applyFill="1" applyBorder="1" applyAlignment="1">
      <alignment horizontal="right" vertical="center" wrapText="1"/>
    </xf>
    <xf numFmtId="0" fontId="10" fillId="6" borderId="48" xfId="0" applyFont="1" applyFill="1" applyBorder="1" applyAlignment="1">
      <alignment horizontal="right" vertical="center" wrapText="1"/>
    </xf>
    <xf numFmtId="3" fontId="9" fillId="6" borderId="46" xfId="0" applyNumberFormat="1" applyFont="1" applyFill="1" applyBorder="1" applyAlignment="1">
      <alignment horizontal="right" vertical="center" wrapText="1"/>
    </xf>
    <xf numFmtId="0" fontId="2" fillId="6" borderId="173" xfId="6" applyFont="1" applyFill="1" applyBorder="1"/>
    <xf numFmtId="49" fontId="21" fillId="6" borderId="174" xfId="0" applyNumberFormat="1" applyFont="1" applyFill="1" applyBorder="1" applyAlignment="1">
      <alignment horizontal="center" vertical="center" wrapText="1"/>
    </xf>
    <xf numFmtId="0" fontId="12" fillId="0" borderId="0" xfId="6" applyFont="1"/>
    <xf numFmtId="0" fontId="12" fillId="0" borderId="0" xfId="6" quotePrefix="1" applyFont="1"/>
    <xf numFmtId="0" fontId="22" fillId="0" borderId="0" xfId="0" applyFont="1" applyAlignment="1">
      <alignment vertical="center"/>
    </xf>
    <xf numFmtId="0" fontId="85" fillId="0" borderId="0" xfId="6" applyFont="1"/>
    <xf numFmtId="0" fontId="16" fillId="0" borderId="0" xfId="6" applyFont="1"/>
    <xf numFmtId="0" fontId="2" fillId="0" borderId="95" xfId="0" applyFont="1" applyBorder="1" applyAlignment="1">
      <alignment vertical="center"/>
    </xf>
    <xf numFmtId="49" fontId="21" fillId="6" borderId="177" xfId="0" applyNumberFormat="1" applyFont="1" applyFill="1" applyBorder="1" applyAlignment="1">
      <alignment horizontal="center" vertical="center" wrapText="1"/>
    </xf>
    <xf numFmtId="49" fontId="21" fillId="6" borderId="172" xfId="0" applyNumberFormat="1" applyFont="1" applyFill="1" applyBorder="1" applyAlignment="1">
      <alignment horizontal="center" vertical="center" wrapText="1"/>
    </xf>
    <xf numFmtId="164" fontId="5" fillId="6" borderId="44" xfId="0" applyNumberFormat="1" applyFont="1" applyFill="1" applyBorder="1" applyAlignment="1">
      <alignment horizontal="right" vertical="center" wrapText="1" indent="1"/>
    </xf>
    <xf numFmtId="164" fontId="2" fillId="6" borderId="45" xfId="0" applyNumberFormat="1" applyFont="1" applyFill="1" applyBorder="1" applyAlignment="1">
      <alignment horizontal="right" vertical="center" wrapText="1" indent="1"/>
    </xf>
    <xf numFmtId="164" fontId="5" fillId="6" borderId="45" xfId="0" applyNumberFormat="1" applyFont="1" applyFill="1" applyBorder="1" applyAlignment="1">
      <alignment horizontal="right" vertical="center" wrapText="1" indent="1"/>
    </xf>
    <xf numFmtId="0" fontId="21" fillId="6" borderId="49" xfId="0" applyFont="1" applyFill="1" applyBorder="1" applyAlignment="1">
      <alignment vertical="center" wrapText="1"/>
    </xf>
    <xf numFmtId="164" fontId="21" fillId="6" borderId="50" xfId="2" applyNumberFormat="1" applyFont="1" applyFill="1" applyBorder="1" applyAlignment="1">
      <alignment horizontal="right" vertical="center" wrapText="1" indent="1"/>
    </xf>
    <xf numFmtId="164" fontId="21" fillId="6" borderId="49" xfId="2" applyNumberFormat="1" applyFont="1" applyFill="1" applyBorder="1" applyAlignment="1">
      <alignment horizontal="right" vertical="center" wrapText="1" indent="1"/>
    </xf>
    <xf numFmtId="164" fontId="21" fillId="6" borderId="51" xfId="2" applyNumberFormat="1" applyFont="1" applyFill="1" applyBorder="1" applyAlignment="1">
      <alignment horizontal="right" vertical="center" wrapText="1" indent="1"/>
    </xf>
    <xf numFmtId="3" fontId="21" fillId="6" borderId="49" xfId="0" applyNumberFormat="1" applyFont="1" applyFill="1" applyBorder="1" applyAlignment="1">
      <alignment horizontal="right" vertical="center" wrapText="1" indent="1"/>
    </xf>
    <xf numFmtId="49" fontId="21" fillId="6" borderId="178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vertical="top" wrapText="1"/>
    </xf>
    <xf numFmtId="0" fontId="10" fillId="5" borderId="46" xfId="0" applyFont="1" applyFill="1" applyBorder="1" applyAlignment="1">
      <alignment vertical="top" wrapText="1"/>
    </xf>
    <xf numFmtId="0" fontId="22" fillId="6" borderId="41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 indent="2"/>
    </xf>
    <xf numFmtId="164" fontId="22" fillId="7" borderId="47" xfId="0" applyNumberFormat="1" applyFont="1" applyFill="1" applyBorder="1" applyAlignment="1">
      <alignment horizontal="right" vertical="center" wrapText="1" indent="1"/>
    </xf>
    <xf numFmtId="164" fontId="22" fillId="5" borderId="47" xfId="0" applyNumberFormat="1" applyFont="1" applyFill="1" applyBorder="1" applyAlignment="1">
      <alignment horizontal="right" vertical="center" wrapText="1" indent="1"/>
    </xf>
    <xf numFmtId="164" fontId="22" fillId="4" borderId="44" xfId="0" applyNumberFormat="1" applyFont="1" applyFill="1" applyBorder="1" applyAlignment="1">
      <alignment horizontal="right" vertical="center" wrapText="1" indent="1"/>
    </xf>
    <xf numFmtId="164" fontId="22" fillId="6" borderId="44" xfId="0" applyNumberFormat="1" applyFont="1" applyFill="1" applyBorder="1" applyAlignment="1">
      <alignment horizontal="right" vertical="center" wrapText="1" indent="1"/>
    </xf>
    <xf numFmtId="164" fontId="2" fillId="6" borderId="44" xfId="0" applyNumberFormat="1" applyFont="1" applyFill="1" applyBorder="1" applyAlignment="1">
      <alignment horizontal="right" vertical="center" wrapText="1" indent="1"/>
    </xf>
    <xf numFmtId="164" fontId="104" fillId="6" borderId="44" xfId="0" applyNumberFormat="1" applyFont="1" applyFill="1" applyBorder="1" applyAlignment="1">
      <alignment horizontal="right" vertical="center" wrapText="1" indent="1"/>
    </xf>
    <xf numFmtId="164" fontId="22" fillId="0" borderId="44" xfId="0" applyNumberFormat="1" applyFont="1" applyBorder="1" applyAlignment="1">
      <alignment horizontal="right" vertical="center" wrapText="1" indent="1"/>
    </xf>
    <xf numFmtId="164" fontId="2" fillId="0" borderId="103" xfId="0" applyNumberFormat="1" applyFont="1" applyBorder="1" applyAlignment="1">
      <alignment horizontal="right" vertical="center" wrapText="1" indent="1"/>
    </xf>
    <xf numFmtId="164" fontId="5" fillId="6" borderId="41" xfId="2" applyNumberFormat="1" applyFont="1" applyFill="1" applyBorder="1" applyAlignment="1">
      <alignment horizontal="right" vertical="center" wrapText="1" indent="1"/>
    </xf>
    <xf numFmtId="164" fontId="5" fillId="6" borderId="40" xfId="2" applyNumberFormat="1" applyFont="1" applyFill="1" applyBorder="1" applyAlignment="1">
      <alignment horizontal="right" vertical="center" wrapText="1" indent="1"/>
    </xf>
    <xf numFmtId="164" fontId="5" fillId="6" borderId="42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103" fillId="5" borderId="47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left" vertical="center" wrapText="1"/>
    </xf>
    <xf numFmtId="0" fontId="84" fillId="6" borderId="0" xfId="0" applyFont="1" applyFill="1" applyAlignment="1">
      <alignment horizontal="left" vertical="center" wrapText="1"/>
    </xf>
    <xf numFmtId="164" fontId="9" fillId="6" borderId="10" xfId="0" applyNumberFormat="1" applyFont="1" applyFill="1" applyBorder="1" applyAlignment="1">
      <alignment horizontal="right" vertical="center" wrapText="1" indent="1"/>
    </xf>
    <xf numFmtId="0" fontId="84" fillId="6" borderId="25" xfId="0" applyFont="1" applyFill="1" applyBorder="1" applyAlignment="1">
      <alignment horizontal="left" vertical="center" wrapText="1"/>
    </xf>
    <xf numFmtId="0" fontId="9" fillId="6" borderId="166" xfId="0" applyFont="1" applyFill="1" applyBorder="1" applyAlignment="1">
      <alignment horizontal="left" vertical="center" wrapText="1" indent="1"/>
    </xf>
    <xf numFmtId="164" fontId="9" fillId="6" borderId="78" xfId="0" applyNumberFormat="1" applyFont="1" applyFill="1" applyBorder="1" applyAlignment="1">
      <alignment horizontal="right" vertical="center" wrapText="1" indent="1"/>
    </xf>
    <xf numFmtId="1" fontId="9" fillId="6" borderId="10" xfId="0" applyNumberFormat="1" applyFont="1" applyFill="1" applyBorder="1" applyAlignment="1">
      <alignment horizontal="right" vertical="center" wrapText="1" indent="1"/>
    </xf>
    <xf numFmtId="1" fontId="9" fillId="6" borderId="2" xfId="0" applyNumberFormat="1" applyFont="1" applyFill="1" applyBorder="1" applyAlignment="1">
      <alignment horizontal="right" vertical="center" wrapText="1" indent="1"/>
    </xf>
    <xf numFmtId="1" fontId="9" fillId="6" borderId="0" xfId="0" applyNumberFormat="1" applyFont="1" applyFill="1" applyAlignment="1">
      <alignment horizontal="right" vertical="center" wrapText="1" indent="1"/>
    </xf>
    <xf numFmtId="164" fontId="9" fillId="6" borderId="79" xfId="0" applyNumberFormat="1" applyFont="1" applyFill="1" applyBorder="1" applyAlignment="1">
      <alignment horizontal="right" vertical="center" wrapText="1" indent="1"/>
    </xf>
    <xf numFmtId="164" fontId="10" fillId="6" borderId="80" xfId="0" applyNumberFormat="1" applyFont="1" applyFill="1" applyBorder="1" applyAlignment="1">
      <alignment horizontal="right" vertical="center" wrapText="1" indent="1"/>
    </xf>
    <xf numFmtId="164" fontId="10" fillId="6" borderId="46" xfId="0" applyNumberFormat="1" applyFont="1" applyFill="1" applyBorder="1" applyAlignment="1">
      <alignment horizontal="right" vertical="center" wrapText="1" indent="1"/>
    </xf>
    <xf numFmtId="0" fontId="5" fillId="6" borderId="16" xfId="0" applyFont="1" applyFill="1" applyBorder="1" applyAlignment="1">
      <alignment vertical="center" wrapText="1"/>
    </xf>
    <xf numFmtId="0" fontId="9" fillId="6" borderId="0" xfId="0" applyFont="1" applyFill="1" applyAlignment="1">
      <alignment horizontal="right" vertical="center" wrapText="1" indent="1"/>
    </xf>
    <xf numFmtId="0" fontId="5" fillId="6" borderId="16" xfId="0" applyFont="1" applyFill="1" applyBorder="1" applyAlignment="1">
      <alignment horizontal="left" vertical="center" wrapText="1"/>
    </xf>
    <xf numFmtId="3" fontId="10" fillId="6" borderId="46" xfId="0" applyNumberFormat="1" applyFont="1" applyFill="1" applyBorder="1" applyAlignment="1">
      <alignment horizontal="right" vertical="center" wrapText="1" indent="1"/>
    </xf>
    <xf numFmtId="164" fontId="10" fillId="6" borderId="26" xfId="2" applyNumberFormat="1" applyFont="1" applyFill="1" applyBorder="1" applyAlignment="1">
      <alignment horizontal="right" vertical="center" wrapText="1" indent="1"/>
    </xf>
    <xf numFmtId="0" fontId="10" fillId="6" borderId="183" xfId="0" applyFont="1" applyFill="1" applyBorder="1" applyAlignment="1">
      <alignment horizontal="left" vertical="center" wrapText="1"/>
    </xf>
    <xf numFmtId="3" fontId="10" fillId="6" borderId="49" xfId="0" applyNumberFormat="1" applyFont="1" applyFill="1" applyBorder="1" applyAlignment="1">
      <alignment horizontal="right" vertical="center" wrapText="1" indent="1"/>
    </xf>
    <xf numFmtId="14" fontId="107" fillId="6" borderId="182" xfId="0" applyNumberFormat="1" applyFont="1" applyFill="1" applyBorder="1" applyAlignment="1">
      <alignment horizontal="left" vertical="center" wrapText="1"/>
    </xf>
    <xf numFmtId="0" fontId="14" fillId="6" borderId="181" xfId="0" applyFont="1" applyFill="1" applyBorder="1" applyAlignment="1">
      <alignment horizontal="right" vertical="center" wrapText="1" indent="1"/>
    </xf>
    <xf numFmtId="14" fontId="107" fillId="6" borderId="184" xfId="0" applyNumberFormat="1" applyFont="1" applyFill="1" applyBorder="1" applyAlignment="1">
      <alignment horizontal="left" vertical="center" wrapText="1"/>
    </xf>
    <xf numFmtId="0" fontId="14" fillId="6" borderId="124" xfId="0" applyFont="1" applyFill="1" applyBorder="1" applyAlignment="1">
      <alignment horizontal="right" vertical="center" wrapText="1" indent="1"/>
    </xf>
    <xf numFmtId="0" fontId="10" fillId="6" borderId="185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49" fontId="103" fillId="6" borderId="32" xfId="7" applyNumberFormat="1" applyFont="1" applyFill="1" applyBorder="1" applyAlignment="1">
      <alignment vertical="center" wrapText="1"/>
    </xf>
    <xf numFmtId="49" fontId="104" fillId="6" borderId="0" xfId="7" applyNumberFormat="1" applyFont="1" applyFill="1" applyAlignment="1">
      <alignment vertical="center" wrapText="1"/>
    </xf>
    <xf numFmtId="49" fontId="104" fillId="6" borderId="31" xfId="7" applyNumberFormat="1" applyFont="1" applyFill="1" applyBorder="1" applyAlignment="1">
      <alignment vertical="center" wrapText="1"/>
    </xf>
    <xf numFmtId="49" fontId="104" fillId="6" borderId="95" xfId="7" applyNumberFormat="1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top" wrapText="1"/>
    </xf>
    <xf numFmtId="0" fontId="22" fillId="4" borderId="16" xfId="0" applyFont="1" applyFill="1" applyBorder="1" applyAlignment="1">
      <alignment horizontal="right" vertical="center" wrapText="1" indent="1"/>
    </xf>
    <xf numFmtId="0" fontId="22" fillId="6" borderId="0" xfId="0" applyFont="1" applyFill="1" applyAlignment="1">
      <alignment horizontal="right" vertical="center" wrapText="1" indent="1"/>
    </xf>
    <xf numFmtId="0" fontId="2" fillId="6" borderId="0" xfId="0" applyFont="1" applyFill="1" applyAlignment="1">
      <alignment vertical="top" wrapText="1"/>
    </xf>
    <xf numFmtId="165" fontId="2" fillId="4" borderId="16" xfId="0" applyNumberFormat="1" applyFont="1" applyFill="1" applyBorder="1" applyAlignment="1">
      <alignment horizontal="right" vertical="center" wrapText="1" indent="1"/>
    </xf>
    <xf numFmtId="1" fontId="2" fillId="6" borderId="0" xfId="0" applyNumberFormat="1" applyFont="1" applyFill="1" applyAlignment="1">
      <alignment horizontal="right" vertical="center" wrapText="1" indent="1"/>
    </xf>
    <xf numFmtId="164" fontId="22" fillId="6" borderId="24" xfId="0" applyNumberFormat="1" applyFont="1" applyFill="1" applyBorder="1" applyAlignment="1">
      <alignment horizontal="right" vertical="center" wrapText="1" indent="1"/>
    </xf>
    <xf numFmtId="1" fontId="22" fillId="4" borderId="16" xfId="0" applyNumberFormat="1" applyFont="1" applyFill="1" applyBorder="1" applyAlignment="1">
      <alignment horizontal="right" vertical="center" wrapText="1" indent="1"/>
    </xf>
    <xf numFmtId="164" fontId="2" fillId="6" borderId="24" xfId="0" applyNumberFormat="1" applyFont="1" applyFill="1" applyBorder="1" applyAlignment="1">
      <alignment horizontal="right" vertical="center" wrapText="1" indent="1"/>
    </xf>
    <xf numFmtId="0" fontId="2" fillId="4" borderId="16" xfId="0" applyFont="1" applyFill="1" applyBorder="1" applyAlignment="1">
      <alignment horizontal="right" vertical="center" wrapText="1" indent="1"/>
    </xf>
    <xf numFmtId="0" fontId="5" fillId="4" borderId="16" xfId="0" applyFont="1" applyFill="1" applyBorder="1" applyAlignment="1">
      <alignment horizontal="right" vertical="center" wrapText="1" indent="1"/>
    </xf>
    <xf numFmtId="0" fontId="22" fillId="6" borderId="18" xfId="0" applyFont="1" applyFill="1" applyBorder="1" applyAlignment="1">
      <alignment vertical="top" wrapText="1"/>
    </xf>
    <xf numFmtId="164" fontId="22" fillId="6" borderId="67" xfId="0" applyNumberFormat="1" applyFont="1" applyFill="1" applyBorder="1" applyAlignment="1">
      <alignment horizontal="right" vertical="center" wrapText="1" indent="1"/>
    </xf>
    <xf numFmtId="0" fontId="22" fillId="4" borderId="17" xfId="0" applyFont="1" applyFill="1" applyBorder="1" applyAlignment="1">
      <alignment horizontal="right" vertical="center" wrapText="1" indent="1"/>
    </xf>
    <xf numFmtId="0" fontId="22" fillId="6" borderId="20" xfId="0" applyFont="1" applyFill="1" applyBorder="1" applyAlignment="1">
      <alignment vertical="top" wrapText="1"/>
    </xf>
    <xf numFmtId="164" fontId="22" fillId="6" borderId="37" xfId="0" applyNumberFormat="1" applyFont="1" applyFill="1" applyBorder="1" applyAlignment="1">
      <alignment horizontal="right" vertical="center" wrapText="1" indent="1"/>
    </xf>
    <xf numFmtId="0" fontId="22" fillId="4" borderId="19" xfId="0" applyFont="1" applyFill="1" applyBorder="1" applyAlignment="1">
      <alignment horizontal="right" vertical="center" wrapText="1" indent="1"/>
    </xf>
    <xf numFmtId="1" fontId="22" fillId="6" borderId="0" xfId="0" applyNumberFormat="1" applyFont="1" applyFill="1" applyAlignment="1">
      <alignment horizontal="right" vertical="center" wrapText="1" indent="1"/>
    </xf>
    <xf numFmtId="1" fontId="22" fillId="6" borderId="18" xfId="0" applyNumberFormat="1" applyFont="1" applyFill="1" applyBorder="1" applyAlignment="1">
      <alignment horizontal="right" vertical="center" wrapText="1" indent="1"/>
    </xf>
    <xf numFmtId="3" fontId="9" fillId="6" borderId="60" xfId="0" applyNumberFormat="1" applyFont="1" applyFill="1" applyBorder="1" applyAlignment="1">
      <alignment horizontal="right" vertical="center" wrapText="1" indent="1"/>
    </xf>
    <xf numFmtId="0" fontId="10" fillId="0" borderId="46" xfId="0" applyFont="1" applyBorder="1" applyAlignment="1">
      <alignment vertical="center" wrapText="1"/>
    </xf>
    <xf numFmtId="164" fontId="10" fillId="0" borderId="186" xfId="0" applyNumberFormat="1" applyFont="1" applyBorder="1" applyAlignment="1">
      <alignment horizontal="right" vertical="center" wrapText="1" indent="1"/>
    </xf>
    <xf numFmtId="3" fontId="10" fillId="0" borderId="46" xfId="0" applyNumberFormat="1" applyFont="1" applyBorder="1" applyAlignment="1">
      <alignment horizontal="right" vertical="center" wrapText="1" indent="1"/>
    </xf>
    <xf numFmtId="165" fontId="10" fillId="4" borderId="187" xfId="0" applyNumberFormat="1" applyFont="1" applyFill="1" applyBorder="1" applyAlignment="1">
      <alignment horizontal="right" vertical="center" wrapText="1" indent="1"/>
    </xf>
    <xf numFmtId="165" fontId="9" fillId="4" borderId="166" xfId="0" applyNumberFormat="1" applyFont="1" applyFill="1" applyBorder="1" applyAlignment="1">
      <alignment horizontal="right" vertical="center" wrapText="1" indent="1"/>
    </xf>
    <xf numFmtId="0" fontId="103" fillId="6" borderId="92" xfId="7" applyFont="1" applyFill="1" applyBorder="1" applyAlignment="1">
      <alignment vertical="center" wrapText="1"/>
    </xf>
    <xf numFmtId="164" fontId="22" fillId="6" borderId="98" xfId="7" applyNumberFormat="1" applyFont="1" applyFill="1" applyBorder="1" applyAlignment="1">
      <alignment horizontal="right" vertical="center" wrapText="1" indent="1"/>
    </xf>
    <xf numFmtId="164" fontId="22" fillId="6" borderId="92" xfId="7" applyNumberFormat="1" applyFont="1" applyFill="1" applyBorder="1" applyAlignment="1">
      <alignment horizontal="right" vertical="center" wrapText="1" indent="1"/>
    </xf>
    <xf numFmtId="164" fontId="22" fillId="4" borderId="92" xfId="7" applyNumberFormat="1" applyFont="1" applyFill="1" applyBorder="1" applyAlignment="1">
      <alignment horizontal="right" vertical="center" wrapText="1" indent="1"/>
    </xf>
    <xf numFmtId="164" fontId="22" fillId="4" borderId="85" xfId="7" applyNumberFormat="1" applyFont="1" applyFill="1" applyBorder="1" applyAlignment="1">
      <alignment horizontal="right" vertical="center" wrapText="1" indent="1"/>
    </xf>
    <xf numFmtId="164" fontId="2" fillId="6" borderId="44" xfId="7" applyNumberFormat="1" applyFont="1" applyFill="1" applyBorder="1" applyAlignment="1">
      <alignment horizontal="right" vertical="center" wrapText="1" indent="1"/>
    </xf>
    <xf numFmtId="164" fontId="2" fillId="6" borderId="0" xfId="7" applyNumberFormat="1" applyFont="1" applyFill="1" applyAlignment="1">
      <alignment horizontal="right" vertical="center" wrapText="1" indent="1"/>
    </xf>
    <xf numFmtId="164" fontId="2" fillId="4" borderId="0" xfId="7" applyNumberFormat="1" applyFont="1" applyFill="1" applyAlignment="1">
      <alignment horizontal="right" vertical="center" wrapText="1" indent="1"/>
    </xf>
    <xf numFmtId="164" fontId="2" fillId="4" borderId="45" xfId="7" applyNumberFormat="1" applyFont="1" applyFill="1" applyBorder="1" applyAlignment="1">
      <alignment horizontal="right" vertical="center" wrapText="1" indent="1"/>
    </xf>
    <xf numFmtId="49" fontId="104" fillId="6" borderId="40" xfId="7" applyNumberFormat="1" applyFont="1" applyFill="1" applyBorder="1" applyAlignment="1">
      <alignment vertical="center" wrapText="1"/>
    </xf>
    <xf numFmtId="164" fontId="2" fillId="6" borderId="41" xfId="7" applyNumberFormat="1" applyFont="1" applyFill="1" applyBorder="1" applyAlignment="1">
      <alignment horizontal="right" vertical="center" wrapText="1" indent="1"/>
    </xf>
    <xf numFmtId="164" fontId="2" fillId="6" borderId="40" xfId="7" applyNumberFormat="1" applyFont="1" applyFill="1" applyBorder="1" applyAlignment="1">
      <alignment horizontal="right" vertical="center" wrapText="1" indent="1"/>
    </xf>
    <xf numFmtId="49" fontId="103" fillId="6" borderId="85" xfId="7" applyNumberFormat="1" applyFont="1" applyFill="1" applyBorder="1" applyAlignment="1">
      <alignment vertical="center" wrapText="1"/>
    </xf>
    <xf numFmtId="49" fontId="104" fillId="6" borderId="45" xfId="7" applyNumberFormat="1" applyFont="1" applyFill="1" applyBorder="1" applyAlignment="1">
      <alignment vertical="center" wrapText="1"/>
    </xf>
    <xf numFmtId="164" fontId="104" fillId="6" borderId="0" xfId="7" applyNumberFormat="1" applyFont="1" applyFill="1" applyAlignment="1">
      <alignment horizontal="right" vertical="center" wrapText="1" indent="1"/>
    </xf>
    <xf numFmtId="49" fontId="104" fillId="6" borderId="42" xfId="7" applyNumberFormat="1" applyFont="1" applyFill="1" applyBorder="1" applyAlignment="1">
      <alignment vertical="center" wrapText="1"/>
    </xf>
    <xf numFmtId="164" fontId="104" fillId="6" borderId="41" xfId="7" applyNumberFormat="1" applyFont="1" applyFill="1" applyBorder="1" applyAlignment="1">
      <alignment horizontal="right" vertical="center" wrapText="1" indent="1"/>
    </xf>
    <xf numFmtId="164" fontId="104" fillId="6" borderId="40" xfId="7" applyNumberFormat="1" applyFont="1" applyFill="1" applyBorder="1" applyAlignment="1">
      <alignment horizontal="right" vertical="center" wrapText="1" indent="1"/>
    </xf>
    <xf numFmtId="49" fontId="103" fillId="6" borderId="92" xfId="7" applyNumberFormat="1" applyFont="1" applyFill="1" applyBorder="1" applyAlignment="1">
      <alignment vertical="center" wrapText="1"/>
    </xf>
    <xf numFmtId="164" fontId="12" fillId="6" borderId="103" xfId="7" applyNumberFormat="1" applyFont="1" applyFill="1" applyBorder="1" applyAlignment="1">
      <alignment horizontal="right" vertical="center" wrapText="1" indent="1"/>
    </xf>
    <xf numFmtId="164" fontId="12" fillId="6" borderId="95" xfId="7" applyNumberFormat="1" applyFont="1" applyFill="1" applyBorder="1" applyAlignment="1">
      <alignment horizontal="right" vertical="center" wrapText="1" indent="1"/>
    </xf>
    <xf numFmtId="164" fontId="2" fillId="4" borderId="104" xfId="7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/>
    </xf>
    <xf numFmtId="49" fontId="10" fillId="6" borderId="40" xfId="0" applyNumberFormat="1" applyFont="1" applyFill="1" applyBorder="1" applyAlignment="1">
      <alignment horizontal="right" vertical="center" wrapText="1"/>
    </xf>
    <xf numFmtId="3" fontId="22" fillId="6" borderId="20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3" fillId="0" borderId="0" xfId="0" applyFont="1" applyAlignment="1">
      <alignment horizontal="justify" vertical="center"/>
    </xf>
    <xf numFmtId="0" fontId="9" fillId="6" borderId="30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vertical="center" wrapText="1"/>
    </xf>
    <xf numFmtId="0" fontId="9" fillId="6" borderId="116" xfId="0" applyFont="1" applyFill="1" applyBorder="1" applyAlignment="1">
      <alignment horizontal="center" vertical="center" wrapText="1"/>
    </xf>
    <xf numFmtId="0" fontId="9" fillId="6" borderId="117" xfId="0" applyFont="1" applyFill="1" applyBorder="1" applyAlignment="1">
      <alignment horizontal="center" vertical="center" wrapText="1"/>
    </xf>
    <xf numFmtId="0" fontId="9" fillId="6" borderId="120" xfId="0" applyFont="1" applyFill="1" applyBorder="1" applyAlignment="1">
      <alignment horizontal="center" vertical="center" wrapText="1"/>
    </xf>
    <xf numFmtId="3" fontId="85" fillId="6" borderId="0" xfId="0" applyNumberFormat="1" applyFont="1" applyFill="1" applyAlignment="1">
      <alignment horizontal="left" vertical="center" wrapText="1"/>
    </xf>
    <xf numFmtId="49" fontId="8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3" fontId="9" fillId="6" borderId="61" xfId="0" applyNumberFormat="1" applyFont="1" applyFill="1" applyBorder="1" applyAlignment="1">
      <alignment horizontal="right" vertical="center" wrapText="1" indent="1"/>
    </xf>
    <xf numFmtId="0" fontId="5" fillId="6" borderId="173" xfId="0" applyFont="1" applyFill="1" applyBorder="1" applyAlignment="1">
      <alignment horizontal="center" vertical="center" wrapText="1"/>
    </xf>
    <xf numFmtId="4" fontId="109" fillId="0" borderId="0" xfId="0" applyNumberFormat="1" applyFont="1" applyAlignment="1">
      <alignment horizontal="right" vertical="center"/>
    </xf>
    <xf numFmtId="4" fontId="109" fillId="0" borderId="8" xfId="0" applyNumberFormat="1" applyFont="1" applyBorder="1" applyAlignment="1">
      <alignment horizontal="right" vertical="center"/>
    </xf>
    <xf numFmtId="4" fontId="109" fillId="0" borderId="170" xfId="0" applyNumberFormat="1" applyFont="1" applyBorder="1" applyAlignment="1">
      <alignment horizontal="right" vertical="center"/>
    </xf>
    <xf numFmtId="0" fontId="75" fillId="6" borderId="164" xfId="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right" vertical="center" wrapText="1" indent="1"/>
    </xf>
    <xf numFmtId="1" fontId="10" fillId="6" borderId="49" xfId="0" applyNumberFormat="1" applyFont="1" applyFill="1" applyBorder="1" applyAlignment="1">
      <alignment horizontal="right" vertical="center" wrapText="1" indent="1"/>
    </xf>
    <xf numFmtId="3" fontId="9" fillId="6" borderId="46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98" fillId="6" borderId="0" xfId="0" applyNumberFormat="1" applyFont="1" applyFill="1" applyAlignment="1">
      <alignment horizontal="right" vertical="center" wrapText="1" indent="1"/>
    </xf>
    <xf numFmtId="3" fontId="100" fillId="6" borderId="70" xfId="0" applyNumberFormat="1" applyFont="1" applyFill="1" applyBorder="1" applyAlignment="1">
      <alignment horizontal="right" vertical="center" wrapText="1" indent="1"/>
    </xf>
    <xf numFmtId="1" fontId="100" fillId="6" borderId="61" xfId="0" applyNumberFormat="1" applyFont="1" applyFill="1" applyBorder="1" applyAlignment="1">
      <alignment horizontal="right" vertical="center" wrapText="1" indent="1"/>
    </xf>
    <xf numFmtId="3" fontId="9" fillId="6" borderId="0" xfId="2" applyNumberFormat="1" applyFont="1" applyFill="1" applyBorder="1" applyAlignment="1">
      <alignment horizontal="right" vertical="center" wrapText="1" indent="1"/>
    </xf>
    <xf numFmtId="3" fontId="10" fillId="6" borderId="25" xfId="2" applyNumberFormat="1" applyFont="1" applyFill="1" applyBorder="1" applyAlignment="1">
      <alignment horizontal="right" vertical="center" wrapText="1" indent="1"/>
    </xf>
    <xf numFmtId="0" fontId="110" fillId="0" borderId="0" xfId="0" applyFont="1"/>
    <xf numFmtId="0" fontId="16" fillId="4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3" fontId="12" fillId="6" borderId="95" xfId="0" applyNumberFormat="1" applyFont="1" applyFill="1" applyBorder="1" applyAlignment="1">
      <alignment horizontal="left" vertical="center" wrapText="1"/>
    </xf>
    <xf numFmtId="168" fontId="2" fillId="4" borderId="8" xfId="0" applyNumberFormat="1" applyFont="1" applyFill="1" applyBorder="1"/>
    <xf numFmtId="168" fontId="2" fillId="4" borderId="0" xfId="0" applyNumberFormat="1" applyFont="1" applyFill="1"/>
    <xf numFmtId="0" fontId="2" fillId="0" borderId="8" xfId="0" applyFont="1" applyBorder="1"/>
    <xf numFmtId="169" fontId="2" fillId="0" borderId="0" xfId="0" applyNumberFormat="1" applyFont="1"/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164" fontId="12" fillId="6" borderId="60" xfId="0" applyNumberFormat="1" applyFont="1" applyFill="1" applyBorder="1" applyAlignment="1">
      <alignment horizontal="right" vertical="center" wrapText="1" indent="1"/>
    </xf>
    <xf numFmtId="164" fontId="12" fillId="6" borderId="44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 indent="1"/>
    </xf>
    <xf numFmtId="164" fontId="10" fillId="6" borderId="44" xfId="0" applyNumberFormat="1" applyFont="1" applyFill="1" applyBorder="1" applyAlignment="1">
      <alignment horizontal="right" vertical="center" wrapText="1" indent="1"/>
    </xf>
    <xf numFmtId="1" fontId="10" fillId="4" borderId="45" xfId="0" applyNumberFormat="1" applyFont="1" applyFill="1" applyBorder="1" applyAlignment="1">
      <alignment horizontal="right" vertical="center" wrapText="1" indent="1"/>
    </xf>
    <xf numFmtId="165" fontId="10" fillId="4" borderId="45" xfId="0" applyNumberFormat="1" applyFont="1" applyFill="1" applyBorder="1" applyAlignment="1">
      <alignment horizontal="right" vertical="center" wrapText="1" indent="1"/>
    </xf>
    <xf numFmtId="164" fontId="9" fillId="6" borderId="47" xfId="0" applyNumberFormat="1" applyFont="1" applyFill="1" applyBorder="1" applyAlignment="1">
      <alignment horizontal="right" vertical="center" wrapText="1" indent="1"/>
    </xf>
    <xf numFmtId="165" fontId="9" fillId="4" borderId="48" xfId="0" applyNumberFormat="1" applyFont="1" applyFill="1" applyBorder="1" applyAlignment="1">
      <alignment horizontal="right" vertical="center" wrapText="1" indent="1"/>
    </xf>
    <xf numFmtId="164" fontId="12" fillId="6" borderId="47" xfId="0" applyNumberFormat="1" applyFont="1" applyFill="1" applyBorder="1" applyAlignment="1">
      <alignment horizontal="right" vertical="center" wrapText="1" indent="1"/>
    </xf>
    <xf numFmtId="164" fontId="10" fillId="6" borderId="50" xfId="0" applyNumberFormat="1" applyFont="1" applyFill="1" applyBorder="1" applyAlignment="1">
      <alignment horizontal="right" vertical="center" wrapText="1" indent="1"/>
    </xf>
    <xf numFmtId="1" fontId="10" fillId="4" borderId="51" xfId="0" applyNumberFormat="1" applyFont="1" applyFill="1" applyBorder="1" applyAlignment="1">
      <alignment horizontal="right" vertical="center" wrapText="1" indent="1"/>
    </xf>
    <xf numFmtId="164" fontId="9" fillId="4" borderId="0" xfId="0" applyNumberFormat="1" applyFont="1" applyFill="1" applyAlignment="1">
      <alignment horizontal="right" vertical="center" wrapText="1" indent="1"/>
    </xf>
    <xf numFmtId="3" fontId="9" fillId="4" borderId="45" xfId="0" applyNumberFormat="1" applyFont="1" applyFill="1" applyBorder="1" applyAlignment="1">
      <alignment horizontal="right" vertical="center" wrapText="1"/>
    </xf>
    <xf numFmtId="164" fontId="9" fillId="4" borderId="45" xfId="0" applyNumberFormat="1" applyFont="1" applyFill="1" applyBorder="1" applyAlignment="1">
      <alignment horizontal="right" vertical="center" wrapText="1" indent="1"/>
    </xf>
    <xf numFmtId="164" fontId="9" fillId="6" borderId="0" xfId="2" applyNumberFormat="1" applyFont="1" applyFill="1" applyBorder="1" applyAlignment="1">
      <alignment horizontal="right" vertical="center" wrapText="1" indent="1"/>
    </xf>
    <xf numFmtId="164" fontId="10" fillId="6" borderId="47" xfId="0" applyNumberFormat="1" applyFont="1" applyFill="1" applyBorder="1" applyAlignment="1">
      <alignment horizontal="right" vertical="center" wrapText="1" indent="1"/>
    </xf>
    <xf numFmtId="164" fontId="10" fillId="4" borderId="46" xfId="0" applyNumberFormat="1" applyFont="1" applyFill="1" applyBorder="1" applyAlignment="1">
      <alignment horizontal="right" vertical="center" wrapText="1" indent="1"/>
    </xf>
    <xf numFmtId="164" fontId="10" fillId="4" borderId="48" xfId="0" applyNumberFormat="1" applyFont="1" applyFill="1" applyBorder="1" applyAlignment="1">
      <alignment horizontal="right" vertical="center" wrapText="1" indent="1"/>
    </xf>
    <xf numFmtId="164" fontId="10" fillId="6" borderId="50" xfId="2" applyNumberFormat="1" applyFont="1" applyFill="1" applyBorder="1" applyAlignment="1">
      <alignment horizontal="right" vertical="center" wrapText="1" indent="1"/>
    </xf>
    <xf numFmtId="3" fontId="10" fillId="4" borderId="49" xfId="2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 indent="1"/>
    </xf>
    <xf numFmtId="3" fontId="10" fillId="4" borderId="51" xfId="2" applyNumberFormat="1" applyFont="1" applyFill="1" applyBorder="1" applyAlignment="1">
      <alignment horizontal="right" vertical="center" wrapText="1" indent="1"/>
    </xf>
    <xf numFmtId="164" fontId="10" fillId="0" borderId="60" xfId="0" applyNumberFormat="1" applyFont="1" applyBorder="1" applyAlignment="1">
      <alignment horizontal="right" vertical="center" wrapText="1" indent="1"/>
    </xf>
    <xf numFmtId="165" fontId="10" fillId="4" borderId="53" xfId="0" applyNumberFormat="1" applyFont="1" applyFill="1" applyBorder="1" applyAlignment="1">
      <alignment horizontal="right" vertical="center" wrapText="1" indent="1"/>
    </xf>
    <xf numFmtId="164" fontId="16" fillId="6" borderId="60" xfId="0" applyNumberFormat="1" applyFont="1" applyFill="1" applyBorder="1" applyAlignment="1">
      <alignment horizontal="right" vertical="center" wrapText="1" indent="1"/>
    </xf>
    <xf numFmtId="164" fontId="10" fillId="6" borderId="118" xfId="0" applyNumberFormat="1" applyFont="1" applyFill="1" applyBorder="1" applyAlignment="1">
      <alignment horizontal="right" vertical="center" wrapText="1" indent="1"/>
    </xf>
    <xf numFmtId="165" fontId="10" fillId="6" borderId="119" xfId="0" applyNumberFormat="1" applyFont="1" applyFill="1" applyBorder="1" applyAlignment="1">
      <alignment horizontal="right" vertical="center" wrapText="1" indent="1"/>
    </xf>
    <xf numFmtId="0" fontId="83" fillId="6" borderId="59" xfId="0" applyFont="1" applyFill="1" applyBorder="1" applyAlignment="1">
      <alignment horizontal="center" vertical="center" wrapText="1"/>
    </xf>
    <xf numFmtId="164" fontId="10" fillId="4" borderId="49" xfId="2" applyNumberFormat="1" applyFont="1" applyFill="1" applyBorder="1" applyAlignment="1">
      <alignment horizontal="right" vertical="center" wrapText="1" indent="1"/>
    </xf>
    <xf numFmtId="164" fontId="10" fillId="4" borderId="51" xfId="2" applyNumberFormat="1" applyFont="1" applyFill="1" applyBorder="1" applyAlignment="1">
      <alignment horizontal="right" vertical="center" wrapText="1" indent="1"/>
    </xf>
    <xf numFmtId="0" fontId="88" fillId="6" borderId="49" xfId="0" applyFont="1" applyFill="1" applyBorder="1" applyAlignment="1">
      <alignment vertical="center" wrapText="1"/>
    </xf>
    <xf numFmtId="164" fontId="83" fillId="6" borderId="60" xfId="0" applyNumberFormat="1" applyFont="1" applyFill="1" applyBorder="1" applyAlignment="1">
      <alignment horizontal="right" vertical="center" wrapText="1" indent="1"/>
    </xf>
    <xf numFmtId="3" fontId="83" fillId="4" borderId="0" xfId="0" applyNumberFormat="1" applyFont="1" applyFill="1" applyAlignment="1">
      <alignment horizontal="right" vertical="center" wrapText="1" indent="1"/>
    </xf>
    <xf numFmtId="164" fontId="83" fillId="6" borderId="0" xfId="0" applyNumberFormat="1" applyFont="1" applyFill="1" applyAlignment="1">
      <alignment horizontal="right" vertical="center" wrapText="1" indent="1"/>
    </xf>
    <xf numFmtId="3" fontId="83" fillId="4" borderId="53" xfId="0" applyNumberFormat="1" applyFont="1" applyFill="1" applyBorder="1" applyAlignment="1">
      <alignment horizontal="right" vertical="center" wrapText="1" indent="1"/>
    </xf>
    <xf numFmtId="164" fontId="78" fillId="6" borderId="60" xfId="0" applyNumberFormat="1" applyFont="1" applyFill="1" applyBorder="1" applyAlignment="1">
      <alignment horizontal="right" vertical="center" wrapText="1" indent="1"/>
    </xf>
    <xf numFmtId="164" fontId="83" fillId="4" borderId="0" xfId="0" applyNumberFormat="1" applyFont="1" applyFill="1" applyAlignment="1">
      <alignment horizontal="right" vertical="center" wrapText="1" indent="1"/>
    </xf>
    <xf numFmtId="164" fontId="78" fillId="6" borderId="0" xfId="0" applyNumberFormat="1" applyFont="1" applyFill="1" applyAlignment="1">
      <alignment horizontal="right" vertical="center" wrapText="1" indent="1"/>
    </xf>
    <xf numFmtId="164" fontId="83" fillId="4" borderId="53" xfId="0" applyNumberFormat="1" applyFont="1" applyFill="1" applyBorder="1" applyAlignment="1">
      <alignment horizontal="right" vertical="center" wrapText="1" indent="1"/>
    </xf>
    <xf numFmtId="164" fontId="88" fillId="6" borderId="71" xfId="0" applyNumberFormat="1" applyFont="1" applyFill="1" applyBorder="1" applyAlignment="1">
      <alignment horizontal="right" vertical="center" wrapText="1" indent="1"/>
    </xf>
    <xf numFmtId="164" fontId="88" fillId="4" borderId="70" xfId="0" applyNumberFormat="1" applyFont="1" applyFill="1" applyBorder="1" applyAlignment="1">
      <alignment horizontal="right" vertical="center" wrapText="1" indent="1"/>
    </xf>
    <xf numFmtId="164" fontId="88" fillId="6" borderId="70" xfId="0" applyNumberFormat="1" applyFont="1" applyFill="1" applyBorder="1" applyAlignment="1">
      <alignment horizontal="right" vertical="center" wrapText="1" indent="1"/>
    </xf>
    <xf numFmtId="164" fontId="88" fillId="4" borderId="72" xfId="0" applyNumberFormat="1" applyFont="1" applyFill="1" applyBorder="1" applyAlignment="1">
      <alignment horizontal="right" vertical="center" wrapText="1" indent="1"/>
    </xf>
    <xf numFmtId="164" fontId="88" fillId="6" borderId="60" xfId="0" applyNumberFormat="1" applyFont="1" applyFill="1" applyBorder="1" applyAlignment="1">
      <alignment horizontal="right" vertical="center" wrapText="1" indent="1"/>
    </xf>
    <xf numFmtId="164" fontId="88" fillId="6" borderId="0" xfId="0" applyNumberFormat="1" applyFont="1" applyFill="1" applyAlignment="1">
      <alignment horizontal="right" vertical="center" wrapText="1" indent="1"/>
    </xf>
    <xf numFmtId="164" fontId="88" fillId="6" borderId="69" xfId="2" applyNumberFormat="1" applyFont="1" applyFill="1" applyBorder="1" applyAlignment="1">
      <alignment horizontal="right" vertical="center" wrapText="1" indent="1"/>
    </xf>
    <xf numFmtId="164" fontId="88" fillId="4" borderId="61" xfId="2" applyNumberFormat="1" applyFont="1" applyFill="1" applyBorder="1" applyAlignment="1">
      <alignment horizontal="right" vertical="center" wrapText="1" indent="1"/>
    </xf>
    <xf numFmtId="164" fontId="88" fillId="6" borderId="61" xfId="2" applyNumberFormat="1" applyFont="1" applyFill="1" applyBorder="1" applyAlignment="1">
      <alignment horizontal="right" vertical="center" wrapText="1" indent="1"/>
    </xf>
    <xf numFmtId="164" fontId="88" fillId="4" borderId="62" xfId="2" applyNumberFormat="1" applyFont="1" applyFill="1" applyBorder="1" applyAlignment="1">
      <alignment horizontal="right" vertical="center" wrapText="1" indent="1"/>
    </xf>
    <xf numFmtId="3" fontId="83" fillId="6" borderId="0" xfId="0" applyNumberFormat="1" applyFont="1" applyFill="1" applyAlignment="1">
      <alignment horizontal="right" vertical="center" wrapText="1" indent="1"/>
    </xf>
    <xf numFmtId="1" fontId="88" fillId="6" borderId="61" xfId="0" applyNumberFormat="1" applyFont="1" applyFill="1" applyBorder="1" applyAlignment="1">
      <alignment horizontal="right" vertical="center" wrapText="1" indent="1"/>
    </xf>
    <xf numFmtId="164" fontId="83" fillId="6" borderId="0" xfId="2" applyNumberFormat="1" applyFont="1" applyFill="1" applyBorder="1" applyAlignment="1">
      <alignment horizontal="right" vertical="center" wrapText="1" indent="1"/>
    </xf>
    <xf numFmtId="164" fontId="9" fillId="6" borderId="16" xfId="0" applyNumberFormat="1" applyFont="1" applyFill="1" applyBorder="1" applyAlignment="1">
      <alignment horizontal="right" vertical="center" wrapText="1" indent="1"/>
    </xf>
    <xf numFmtId="164" fontId="10" fillId="6" borderId="27" xfId="2" applyNumberFormat="1" applyFont="1" applyFill="1" applyBorder="1" applyAlignment="1">
      <alignment horizontal="right" vertical="center" wrapText="1" indent="1"/>
    </xf>
    <xf numFmtId="0" fontId="5" fillId="6" borderId="15" xfId="0" applyFont="1" applyFill="1" applyBorder="1" applyAlignment="1">
      <alignment horizontal="right" vertical="center" wrapText="1" indent="1"/>
    </xf>
    <xf numFmtId="14" fontId="12" fillId="6" borderId="89" xfId="7" applyNumberFormat="1" applyFont="1" applyFill="1" applyBorder="1" applyAlignment="1">
      <alignment horizontal="center" vertical="center" wrapText="1"/>
    </xf>
    <xf numFmtId="0" fontId="12" fillId="6" borderId="90" xfId="7" applyFont="1" applyFill="1" applyBorder="1" applyAlignment="1">
      <alignment horizontal="center" vertical="center" wrapText="1"/>
    </xf>
    <xf numFmtId="0" fontId="12" fillId="6" borderId="97" xfId="7" applyFont="1" applyFill="1" applyBorder="1" applyAlignment="1">
      <alignment horizontal="center" vertical="center" wrapText="1"/>
    </xf>
    <xf numFmtId="14" fontId="12" fillId="6" borderId="90" xfId="7" applyNumberFormat="1" applyFont="1" applyFill="1" applyBorder="1" applyAlignment="1">
      <alignment horizontal="center" vertical="center" wrapText="1"/>
    </xf>
    <xf numFmtId="0" fontId="103" fillId="6" borderId="46" xfId="7" applyFont="1" applyFill="1" applyBorder="1" applyAlignment="1">
      <alignment vertical="center" wrapText="1"/>
    </xf>
    <xf numFmtId="164" fontId="22" fillId="6" borderId="47" xfId="7" applyNumberFormat="1" applyFont="1" applyFill="1" applyBorder="1" applyAlignment="1">
      <alignment horizontal="right" vertical="center" wrapText="1" indent="1"/>
    </xf>
    <xf numFmtId="164" fontId="22" fillId="6" borderId="46" xfId="7" applyNumberFormat="1" applyFont="1" applyFill="1" applyBorder="1" applyAlignment="1">
      <alignment horizontal="right" vertical="center" wrapText="1" indent="1"/>
    </xf>
    <xf numFmtId="164" fontId="22" fillId="4" borderId="48" xfId="7" applyNumberFormat="1" applyFont="1" applyFill="1" applyBorder="1" applyAlignment="1">
      <alignment horizontal="right" vertical="center" wrapText="1" indent="1"/>
    </xf>
    <xf numFmtId="164" fontId="22" fillId="4" borderId="46" xfId="7" applyNumberFormat="1" applyFont="1" applyFill="1" applyBorder="1" applyAlignment="1">
      <alignment horizontal="right" vertical="center" wrapText="1" indent="1"/>
    </xf>
    <xf numFmtId="49" fontId="103" fillId="6" borderId="0" xfId="7" applyNumberFormat="1" applyFont="1" applyFill="1" applyAlignment="1">
      <alignment horizontal="left" wrapText="1"/>
    </xf>
    <xf numFmtId="164" fontId="22" fillId="6" borderId="91" xfId="7" applyNumberFormat="1" applyFont="1" applyFill="1" applyBorder="1" applyAlignment="1">
      <alignment horizontal="right" vertical="center" wrapText="1" indent="1"/>
    </xf>
    <xf numFmtId="49" fontId="104" fillId="6" borderId="0" xfId="7" applyNumberFormat="1" applyFont="1" applyFill="1" applyAlignment="1">
      <alignment horizontal="left" vertical="center" wrapText="1"/>
    </xf>
    <xf numFmtId="164" fontId="2" fillId="6" borderId="93" xfId="7" applyNumberFormat="1" applyFont="1" applyFill="1" applyBorder="1" applyAlignment="1">
      <alignment horizontal="right" vertical="center" wrapText="1" indent="1"/>
    </xf>
    <xf numFmtId="49" fontId="112" fillId="6" borderId="0" xfId="7" applyNumberFormat="1" applyFont="1" applyFill="1" applyAlignment="1">
      <alignment horizontal="left" vertical="center" wrapText="1"/>
    </xf>
    <xf numFmtId="164" fontId="112" fillId="6" borderId="44" xfId="7" applyNumberFormat="1" applyFont="1" applyFill="1" applyBorder="1" applyAlignment="1">
      <alignment horizontal="right" vertical="center" wrapText="1" indent="1"/>
    </xf>
    <xf numFmtId="164" fontId="112" fillId="6" borderId="0" xfId="7" applyNumberFormat="1" applyFont="1" applyFill="1" applyAlignment="1">
      <alignment horizontal="right" vertical="center" wrapText="1" indent="1"/>
    </xf>
    <xf numFmtId="164" fontId="112" fillId="4" borderId="45" xfId="7" applyNumberFormat="1" applyFont="1" applyFill="1" applyBorder="1" applyAlignment="1">
      <alignment horizontal="right" vertical="center" wrapText="1" indent="1"/>
    </xf>
    <xf numFmtId="164" fontId="112" fillId="6" borderId="93" xfId="7" applyNumberFormat="1" applyFont="1" applyFill="1" applyBorder="1" applyAlignment="1">
      <alignment horizontal="right" vertical="center" wrapText="1" indent="1"/>
    </xf>
    <xf numFmtId="164" fontId="112" fillId="4" borderId="0" xfId="7" applyNumberFormat="1" applyFont="1" applyFill="1" applyAlignment="1">
      <alignment horizontal="right" vertical="center" wrapText="1" indent="1"/>
    </xf>
    <xf numFmtId="49" fontId="104" fillId="6" borderId="8" xfId="7" applyNumberFormat="1" applyFont="1" applyFill="1" applyBorder="1" applyAlignment="1">
      <alignment horizontal="left" vertical="center" wrapText="1"/>
    </xf>
    <xf numFmtId="164" fontId="2" fillId="6" borderId="99" xfId="7" applyNumberFormat="1" applyFont="1" applyFill="1" applyBorder="1" applyAlignment="1">
      <alignment horizontal="right" vertical="center" wrapText="1" indent="1"/>
    </xf>
    <xf numFmtId="164" fontId="2" fillId="6" borderId="8" xfId="7" applyNumberFormat="1" applyFont="1" applyFill="1" applyBorder="1" applyAlignment="1">
      <alignment horizontal="right" vertical="center" wrapText="1" indent="1"/>
    </xf>
    <xf numFmtId="164" fontId="2" fillId="4" borderId="100" xfId="7" applyNumberFormat="1" applyFont="1" applyFill="1" applyBorder="1" applyAlignment="1">
      <alignment horizontal="right" vertical="center" wrapText="1" indent="1"/>
    </xf>
    <xf numFmtId="164" fontId="2" fillId="6" borderId="94" xfId="7" applyNumberFormat="1" applyFont="1" applyFill="1" applyBorder="1" applyAlignment="1">
      <alignment horizontal="right" vertical="center" wrapText="1" indent="1"/>
    </xf>
    <xf numFmtId="164" fontId="2" fillId="4" borderId="8" xfId="7" applyNumberFormat="1" applyFont="1" applyFill="1" applyBorder="1" applyAlignment="1">
      <alignment horizontal="right" vertical="center" wrapText="1" indent="1"/>
    </xf>
    <xf numFmtId="49" fontId="103" fillId="6" borderId="10" xfId="7" applyNumberFormat="1" applyFont="1" applyFill="1" applyBorder="1" applyAlignment="1">
      <alignment horizontal="left" vertical="center" wrapText="1"/>
    </xf>
    <xf numFmtId="164" fontId="22" fillId="4" borderId="102" xfId="7" applyNumberFormat="1" applyFont="1" applyFill="1" applyBorder="1" applyAlignment="1">
      <alignment horizontal="right" vertical="center" wrapText="1" indent="1"/>
    </xf>
    <xf numFmtId="164" fontId="22" fillId="4" borderId="10" xfId="7" applyNumberFormat="1" applyFont="1" applyFill="1" applyBorder="1" applyAlignment="1">
      <alignment horizontal="right" vertical="center" wrapText="1" indent="1"/>
    </xf>
    <xf numFmtId="0" fontId="104" fillId="6" borderId="0" xfId="7" applyFont="1" applyFill="1" applyAlignment="1">
      <alignment horizontal="left" vertical="center" wrapText="1"/>
    </xf>
    <xf numFmtId="0" fontId="12" fillId="6" borderId="95" xfId="7" applyFont="1" applyFill="1" applyBorder="1" applyAlignment="1">
      <alignment horizontal="left" vertical="center" wrapText="1"/>
    </xf>
    <xf numFmtId="164" fontId="2" fillId="4" borderId="95" xfId="7" applyNumberFormat="1" applyFont="1" applyFill="1" applyBorder="1" applyAlignment="1">
      <alignment horizontal="right" vertical="center" wrapText="1" indent="1"/>
    </xf>
    <xf numFmtId="164" fontId="22" fillId="6" borderId="101" xfId="7" applyNumberFormat="1" applyFont="1" applyFill="1" applyBorder="1" applyAlignment="1">
      <alignment horizontal="right" vertical="center" wrapText="1" indent="1"/>
    </xf>
    <xf numFmtId="164" fontId="22" fillId="6" borderId="10" xfId="7" applyNumberFormat="1" applyFont="1" applyFill="1" applyBorder="1" applyAlignment="1">
      <alignment horizontal="right" vertical="center" wrapText="1" indent="1"/>
    </xf>
    <xf numFmtId="164" fontId="22" fillId="6" borderId="78" xfId="7" applyNumberFormat="1" applyFont="1" applyFill="1" applyBorder="1" applyAlignment="1">
      <alignment horizontal="right" vertical="center" wrapText="1" indent="1"/>
    </xf>
    <xf numFmtId="164" fontId="2" fillId="6" borderId="79" xfId="7" applyNumberFormat="1" applyFont="1" applyFill="1" applyBorder="1" applyAlignment="1">
      <alignment horizontal="right" vertical="center" wrapText="1" indent="1"/>
    </xf>
    <xf numFmtId="164" fontId="104" fillId="6" borderId="44" xfId="7" applyNumberFormat="1" applyFont="1" applyFill="1" applyBorder="1" applyAlignment="1">
      <alignment horizontal="right" vertical="center" wrapText="1" indent="1"/>
    </xf>
    <xf numFmtId="164" fontId="104" fillId="6" borderId="79" xfId="7" applyNumberFormat="1" applyFont="1" applyFill="1" applyBorder="1" applyAlignment="1">
      <alignment horizontal="right" vertical="center" wrapText="1" indent="1"/>
    </xf>
    <xf numFmtId="164" fontId="12" fillId="6" borderId="96" xfId="7" applyNumberFormat="1" applyFont="1" applyFill="1" applyBorder="1" applyAlignment="1">
      <alignment horizontal="right" vertical="center" wrapText="1" indent="1"/>
    </xf>
    <xf numFmtId="14" fontId="12" fillId="6" borderId="149" xfId="7" applyNumberFormat="1" applyFont="1" applyFill="1" applyBorder="1" applyAlignment="1">
      <alignment horizontal="center" vertical="center" wrapText="1"/>
    </xf>
    <xf numFmtId="0" fontId="12" fillId="6" borderId="150" xfId="7" applyFont="1" applyFill="1" applyBorder="1" applyAlignment="1">
      <alignment horizontal="center" vertical="center" wrapText="1"/>
    </xf>
    <xf numFmtId="0" fontId="12" fillId="6" borderId="151" xfId="7" applyFont="1" applyFill="1" applyBorder="1" applyAlignment="1">
      <alignment horizontal="center" vertical="center" wrapText="1"/>
    </xf>
    <xf numFmtId="14" fontId="12" fillId="6" borderId="150" xfId="7" applyNumberFormat="1" applyFont="1" applyFill="1" applyBorder="1" applyAlignment="1">
      <alignment horizontal="center" vertical="center" wrapText="1"/>
    </xf>
    <xf numFmtId="164" fontId="22" fillId="6" borderId="153" xfId="7" applyNumberFormat="1" applyFont="1" applyFill="1" applyBorder="1" applyAlignment="1">
      <alignment horizontal="right" vertical="center" wrapText="1" indent="1"/>
    </xf>
    <xf numFmtId="164" fontId="22" fillId="6" borderId="32" xfId="7" applyNumberFormat="1" applyFont="1" applyFill="1" applyBorder="1" applyAlignment="1">
      <alignment horizontal="right" vertical="center" wrapText="1" indent="1"/>
    </xf>
    <xf numFmtId="2" fontId="22" fillId="4" borderId="152" xfId="7" applyNumberFormat="1" applyFont="1" applyFill="1" applyBorder="1" applyAlignment="1">
      <alignment horizontal="right" vertical="center" wrapText="1" indent="1"/>
    </xf>
    <xf numFmtId="2" fontId="22" fillId="4" borderId="32" xfId="7" applyNumberFormat="1" applyFont="1" applyFill="1" applyBorder="1" applyAlignment="1">
      <alignment horizontal="right" vertical="center" wrapText="1" indent="1"/>
    </xf>
    <xf numFmtId="2" fontId="2" fillId="4" borderId="45" xfId="7" applyNumberFormat="1" applyFont="1" applyFill="1" applyBorder="1" applyAlignment="1">
      <alignment horizontal="right" vertical="center" wrapText="1" indent="1"/>
    </xf>
    <xf numFmtId="2" fontId="2" fillId="4" borderId="0" xfId="7" applyNumberFormat="1" applyFont="1" applyFill="1" applyAlignment="1">
      <alignment horizontal="right" vertical="center" wrapText="1" indent="1"/>
    </xf>
    <xf numFmtId="164" fontId="2" fillId="6" borderId="155" xfId="7" applyNumberFormat="1" applyFont="1" applyFill="1" applyBorder="1" applyAlignment="1">
      <alignment horizontal="right" vertical="center" wrapText="1" indent="1"/>
    </xf>
    <xf numFmtId="164" fontId="2" fillId="6" borderId="31" xfId="7" applyNumberFormat="1" applyFont="1" applyFill="1" applyBorder="1" applyAlignment="1">
      <alignment horizontal="right" vertical="center" wrapText="1" indent="1"/>
    </xf>
    <xf numFmtId="2" fontId="2" fillId="4" borderId="154" xfId="7" applyNumberFormat="1" applyFont="1" applyFill="1" applyBorder="1" applyAlignment="1">
      <alignment horizontal="right" vertical="center" wrapText="1" indent="1"/>
    </xf>
    <xf numFmtId="2" fontId="2" fillId="4" borderId="31" xfId="7" applyNumberFormat="1" applyFont="1" applyFill="1" applyBorder="1" applyAlignment="1">
      <alignment horizontal="right" vertical="center" wrapText="1" indent="1"/>
    </xf>
    <xf numFmtId="164" fontId="22" fillId="6" borderId="44" xfId="7" applyNumberFormat="1" applyFont="1" applyFill="1" applyBorder="1" applyAlignment="1">
      <alignment horizontal="right" vertical="center" wrapText="1" indent="1"/>
    </xf>
    <xf numFmtId="164" fontId="22" fillId="6" borderId="0" xfId="7" applyNumberFormat="1" applyFont="1" applyFill="1" applyAlignment="1">
      <alignment horizontal="right" vertical="center" wrapText="1" indent="1"/>
    </xf>
    <xf numFmtId="164" fontId="22" fillId="4" borderId="45" xfId="7" applyNumberFormat="1" applyFont="1" applyFill="1" applyBorder="1" applyAlignment="1">
      <alignment horizontal="right" vertical="center" wrapText="1" indent="1"/>
    </xf>
    <xf numFmtId="164" fontId="22" fillId="4" borderId="0" xfId="7" applyNumberFormat="1" applyFont="1" applyFill="1" applyAlignment="1">
      <alignment horizontal="right" vertical="center" wrapText="1" indent="1"/>
    </xf>
    <xf numFmtId="164" fontId="22" fillId="4" borderId="152" xfId="7" applyNumberFormat="1" applyFont="1" applyFill="1" applyBorder="1" applyAlignment="1">
      <alignment horizontal="right" vertical="center" wrapText="1" indent="1"/>
    </xf>
    <xf numFmtId="164" fontId="22" fillId="4" borderId="32" xfId="7" applyNumberFormat="1" applyFont="1" applyFill="1" applyBorder="1" applyAlignment="1">
      <alignment horizontal="right" vertical="center" wrapText="1" indent="1"/>
    </xf>
    <xf numFmtId="164" fontId="2" fillId="4" borderId="154" xfId="7" applyNumberFormat="1" applyFont="1" applyFill="1" applyBorder="1" applyAlignment="1">
      <alignment horizontal="right" vertical="center" wrapText="1" indent="1"/>
    </xf>
    <xf numFmtId="164" fontId="2" fillId="4" borderId="31" xfId="7" applyNumberFormat="1" applyFont="1" applyFill="1" applyBorder="1" applyAlignment="1">
      <alignment horizontal="right" vertical="center" wrapText="1" indent="1"/>
    </xf>
    <xf numFmtId="164" fontId="12" fillId="4" borderId="104" xfId="7" applyNumberFormat="1" applyFont="1" applyFill="1" applyBorder="1" applyAlignment="1">
      <alignment horizontal="right" vertical="center" wrapText="1" indent="1"/>
    </xf>
    <xf numFmtId="164" fontId="12" fillId="4" borderId="95" xfId="7" applyNumberFormat="1" applyFont="1" applyFill="1" applyBorder="1" applyAlignment="1">
      <alignment horizontal="right" vertical="center" wrapText="1" indent="1"/>
    </xf>
    <xf numFmtId="0" fontId="5" fillId="6" borderId="23" xfId="3" applyFont="1" applyFill="1" applyBorder="1" applyAlignment="1">
      <alignment horizontal="center" vertical="center" wrapText="1"/>
    </xf>
    <xf numFmtId="0" fontId="5" fillId="6" borderId="15" xfId="3" applyFont="1" applyFill="1" applyBorder="1" applyAlignment="1">
      <alignment horizontal="center" vertical="center" wrapText="1"/>
    </xf>
    <xf numFmtId="0" fontId="5" fillId="6" borderId="14" xfId="3" applyFont="1" applyFill="1" applyBorder="1" applyAlignment="1">
      <alignment horizontal="center" vertical="center" wrapText="1"/>
    </xf>
    <xf numFmtId="0" fontId="115" fillId="6" borderId="23" xfId="3" applyFont="1" applyFill="1" applyBorder="1" applyAlignment="1">
      <alignment horizontal="center" vertical="center" wrapText="1"/>
    </xf>
    <xf numFmtId="0" fontId="115" fillId="6" borderId="15" xfId="3" applyFont="1" applyFill="1" applyBorder="1" applyAlignment="1">
      <alignment horizontal="center" vertical="center" wrapText="1"/>
    </xf>
    <xf numFmtId="0" fontId="115" fillId="6" borderId="14" xfId="3" applyFont="1" applyFill="1" applyBorder="1" applyAlignment="1">
      <alignment horizontal="center" vertical="center" wrapText="1"/>
    </xf>
    <xf numFmtId="0" fontId="115" fillId="6" borderId="0" xfId="3" applyFont="1" applyFill="1" applyAlignment="1">
      <alignment horizontal="left" vertical="center" wrapText="1"/>
    </xf>
    <xf numFmtId="4" fontId="115" fillId="6" borderId="24" xfId="3" applyNumberFormat="1" applyFont="1" applyFill="1" applyBorder="1" applyAlignment="1">
      <alignment horizontal="right" vertical="center" wrapText="1" indent="1"/>
    </xf>
    <xf numFmtId="4" fontId="115" fillId="6" borderId="0" xfId="3" applyNumberFormat="1" applyFont="1" applyFill="1" applyAlignment="1">
      <alignment horizontal="right" vertical="center" wrapText="1" indent="1"/>
    </xf>
    <xf numFmtId="4" fontId="115" fillId="6" borderId="16" xfId="3" applyNumberFormat="1" applyFont="1" applyFill="1" applyBorder="1" applyAlignment="1">
      <alignment horizontal="right" vertical="center" wrapText="1" indent="1"/>
    </xf>
    <xf numFmtId="0" fontId="114" fillId="6" borderId="25" xfId="3" applyFont="1" applyFill="1" applyBorder="1" applyAlignment="1">
      <alignment horizontal="left" vertical="center" wrapText="1"/>
    </xf>
    <xf numFmtId="4" fontId="114" fillId="6" borderId="26" xfId="3" applyNumberFormat="1" applyFont="1" applyFill="1" applyBorder="1" applyAlignment="1">
      <alignment horizontal="right" vertical="center" wrapText="1" indent="1"/>
    </xf>
    <xf numFmtId="4" fontId="114" fillId="6" borderId="25" xfId="3" applyNumberFormat="1" applyFont="1" applyFill="1" applyBorder="1" applyAlignment="1">
      <alignment horizontal="right" vertical="center" wrapText="1" indent="1"/>
    </xf>
    <xf numFmtId="4" fontId="114" fillId="6" borderId="27" xfId="3" applyNumberFormat="1" applyFont="1" applyFill="1" applyBorder="1" applyAlignment="1">
      <alignment horizontal="right" vertical="center" wrapText="1" indent="1"/>
    </xf>
    <xf numFmtId="0" fontId="116" fillId="6" borderId="105" xfId="7" applyFont="1" applyFill="1" applyBorder="1"/>
    <xf numFmtId="0" fontId="9" fillId="6" borderId="177" xfId="0" applyFont="1" applyFill="1" applyBorder="1" applyAlignment="1">
      <alignment horizontal="center" vertical="center" wrapText="1"/>
    </xf>
    <xf numFmtId="3" fontId="14" fillId="6" borderId="44" xfId="0" applyNumberFormat="1" applyFont="1" applyFill="1" applyBorder="1" applyAlignment="1">
      <alignment horizontal="center" vertical="center" wrapText="1"/>
    </xf>
    <xf numFmtId="3" fontId="10" fillId="7" borderId="47" xfId="0" applyNumberFormat="1" applyFont="1" applyFill="1" applyBorder="1" applyAlignment="1">
      <alignment horizontal="right" vertical="center" wrapText="1" indent="1"/>
    </xf>
    <xf numFmtId="3" fontId="10" fillId="5" borderId="47" xfId="0" applyNumberFormat="1" applyFont="1" applyFill="1" applyBorder="1" applyAlignment="1">
      <alignment horizontal="right" vertical="center" wrapText="1" indent="1"/>
    </xf>
    <xf numFmtId="3" fontId="10" fillId="4" borderId="44" xfId="0" applyNumberFormat="1" applyFont="1" applyFill="1" applyBorder="1" applyAlignment="1">
      <alignment horizontal="right" vertical="center" wrapText="1" indent="1"/>
    </xf>
    <xf numFmtId="3" fontId="10" fillId="6" borderId="44" xfId="0" applyNumberFormat="1" applyFont="1" applyFill="1" applyBorder="1" applyAlignment="1">
      <alignment horizontal="right" vertical="center" wrapText="1" indent="1"/>
    </xf>
    <xf numFmtId="3" fontId="9" fillId="6" borderId="44" xfId="0" applyNumberFormat="1" applyFont="1" applyFill="1" applyBorder="1" applyAlignment="1">
      <alignment horizontal="right" vertical="center" wrapText="1" indent="1"/>
    </xf>
    <xf numFmtId="3" fontId="9" fillId="6" borderId="103" xfId="0" applyNumberFormat="1" applyFont="1" applyFill="1" applyBorder="1" applyAlignment="1">
      <alignment horizontal="right" vertical="center" wrapText="1" indent="1"/>
    </xf>
    <xf numFmtId="3" fontId="21" fillId="6" borderId="24" xfId="0" applyNumberFormat="1" applyFont="1" applyFill="1" applyBorder="1" applyAlignment="1">
      <alignment horizontal="right" vertical="center" wrapText="1" indent="1"/>
    </xf>
    <xf numFmtId="3" fontId="5" fillId="6" borderId="24" xfId="0" applyNumberFormat="1" applyFont="1" applyFill="1" applyBorder="1" applyAlignment="1">
      <alignment horizontal="right" vertical="center" wrapText="1" indent="1"/>
    </xf>
    <xf numFmtId="3" fontId="5" fillId="6" borderId="37" xfId="0" applyNumberFormat="1" applyFont="1" applyFill="1" applyBorder="1" applyAlignment="1">
      <alignment horizontal="right" vertical="center" wrapText="1" indent="1"/>
    </xf>
    <xf numFmtId="1" fontId="83" fillId="6" borderId="83" xfId="7" applyNumberFormat="1" applyFont="1" applyFill="1" applyBorder="1" applyAlignment="1">
      <alignment horizontal="right" vertical="center" wrapText="1" indent="1"/>
    </xf>
    <xf numFmtId="1" fontId="88" fillId="6" borderId="36" xfId="7" applyNumberFormat="1" applyFont="1" applyFill="1" applyBorder="1" applyAlignment="1">
      <alignment horizontal="right" vertical="center" wrapText="1" indent="1"/>
    </xf>
    <xf numFmtId="1" fontId="88" fillId="6" borderId="189" xfId="7" applyNumberFormat="1" applyFont="1" applyFill="1" applyBorder="1" applyAlignment="1">
      <alignment horizontal="right" vertical="center" wrapText="1" indent="1"/>
    </xf>
    <xf numFmtId="14" fontId="9" fillId="6" borderId="0" xfId="0" applyNumberFormat="1" applyFont="1" applyFill="1" applyAlignment="1">
      <alignment horizontal="center" vertical="center" wrapText="1"/>
    </xf>
    <xf numFmtId="0" fontId="10" fillId="6" borderId="25" xfId="0" applyFont="1" applyFill="1" applyBorder="1" applyAlignment="1">
      <alignment horizontal="right" vertical="center" wrapText="1" indent="1"/>
    </xf>
    <xf numFmtId="3" fontId="10" fillId="6" borderId="26" xfId="0" applyNumberFormat="1" applyFont="1" applyFill="1" applyBorder="1" applyAlignment="1">
      <alignment horizontal="right" vertical="center" wrapText="1" indent="1"/>
    </xf>
    <xf numFmtId="3" fontId="12" fillId="0" borderId="175" xfId="4" applyNumberFormat="1" applyFont="1" applyFill="1" applyBorder="1" applyAlignment="1">
      <alignment horizontal="right" vertical="center" indent="1"/>
    </xf>
    <xf numFmtId="3" fontId="101" fillId="0" borderId="179" xfId="4" applyNumberFormat="1" applyFont="1" applyFill="1" applyBorder="1" applyAlignment="1">
      <alignment horizontal="right" vertical="center" indent="1"/>
    </xf>
    <xf numFmtId="3" fontId="12" fillId="0" borderId="0" xfId="4" applyNumberFormat="1" applyFont="1" applyFill="1" applyBorder="1" applyAlignment="1">
      <alignment horizontal="right" vertical="center" indent="1"/>
    </xf>
    <xf numFmtId="3" fontId="12" fillId="0" borderId="175" xfId="6" applyNumberFormat="1" applyFont="1" applyBorder="1" applyAlignment="1">
      <alignment horizontal="right" vertical="center" indent="1"/>
    </xf>
    <xf numFmtId="3" fontId="101" fillId="0" borderId="179" xfId="6" applyNumberFormat="1" applyFont="1" applyBorder="1" applyAlignment="1">
      <alignment horizontal="right" vertical="center" indent="1"/>
    </xf>
    <xf numFmtId="3" fontId="12" fillId="0" borderId="0" xfId="6" applyNumberFormat="1" applyFont="1" applyAlignment="1">
      <alignment horizontal="right" vertical="center" indent="1"/>
    </xf>
    <xf numFmtId="164" fontId="12" fillId="0" borderId="175" xfId="6" applyNumberFormat="1" applyFont="1" applyBorder="1" applyAlignment="1">
      <alignment horizontal="right" vertical="center" indent="1"/>
    </xf>
    <xf numFmtId="164" fontId="101" fillId="0" borderId="179" xfId="2" applyNumberFormat="1" applyFont="1" applyBorder="1" applyAlignment="1">
      <alignment horizontal="right" vertical="center" indent="1"/>
    </xf>
    <xf numFmtId="164" fontId="16" fillId="0" borderId="175" xfId="6" applyNumberFormat="1" applyFont="1" applyBorder="1" applyAlignment="1">
      <alignment horizontal="right" vertical="center" indent="1"/>
    </xf>
    <xf numFmtId="164" fontId="102" fillId="0" borderId="179" xfId="2" applyNumberFormat="1" applyFont="1" applyBorder="1" applyAlignment="1">
      <alignment horizontal="right" vertical="center" indent="1"/>
    </xf>
    <xf numFmtId="164" fontId="101" fillId="0" borderId="179" xfId="6" applyNumberFormat="1" applyFont="1" applyBorder="1" applyAlignment="1">
      <alignment horizontal="right" vertical="center" indent="1"/>
    </xf>
    <xf numFmtId="164" fontId="102" fillId="0" borderId="179" xfId="6" applyNumberFormat="1" applyFont="1" applyBorder="1" applyAlignment="1">
      <alignment horizontal="right" vertical="center" indent="1"/>
    </xf>
    <xf numFmtId="164" fontId="12" fillId="0" borderId="176" xfId="6" applyNumberFormat="1" applyFont="1" applyBorder="1" applyAlignment="1">
      <alignment horizontal="right" vertical="center" indent="1"/>
    </xf>
    <xf numFmtId="164" fontId="101" fillId="0" borderId="180" xfId="6" applyNumberFormat="1" applyFont="1" applyBorder="1" applyAlignment="1">
      <alignment horizontal="right" vertical="center" indent="1"/>
    </xf>
    <xf numFmtId="3" fontId="12" fillId="0" borderId="176" xfId="6" applyNumberFormat="1" applyFont="1" applyBorder="1" applyAlignment="1">
      <alignment horizontal="right" vertical="center" indent="1"/>
    </xf>
    <xf numFmtId="0" fontId="75" fillId="6" borderId="188" xfId="3" applyFont="1" applyFill="1" applyBorder="1" applyAlignment="1">
      <alignment horizontal="center" vertical="center" wrapText="1"/>
    </xf>
    <xf numFmtId="0" fontId="28" fillId="0" borderId="6" xfId="7" applyFont="1" applyBorder="1" applyAlignment="1">
      <alignment horizontal="center" vertical="center" wrapText="1"/>
    </xf>
    <xf numFmtId="0" fontId="33" fillId="0" borderId="7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6" borderId="0" xfId="0" applyFont="1" applyFill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49" fontId="10" fillId="6" borderId="63" xfId="0" applyNumberFormat="1" applyFont="1" applyFill="1" applyBorder="1" applyAlignment="1">
      <alignment horizontal="center" vertical="center" wrapText="1"/>
    </xf>
    <xf numFmtId="49" fontId="10" fillId="6" borderId="64" xfId="0" applyNumberFormat="1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8" fillId="6" borderId="0" xfId="0" applyFont="1" applyFill="1" applyAlignment="1">
      <alignment horizontal="center" vertical="center" wrapText="1"/>
    </xf>
    <xf numFmtId="0" fontId="99" fillId="6" borderId="40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49" fontId="16" fillId="6" borderId="68" xfId="0" applyNumberFormat="1" applyFont="1" applyFill="1" applyBorder="1" applyAlignment="1">
      <alignment horizontal="center" vertical="center" wrapText="1"/>
    </xf>
    <xf numFmtId="49" fontId="16" fillId="6" borderId="64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6" borderId="114" xfId="0" applyNumberFormat="1" applyFont="1" applyFill="1" applyBorder="1" applyAlignment="1">
      <alignment horizontal="center" vertical="center" wrapText="1"/>
    </xf>
    <xf numFmtId="49" fontId="10" fillId="6" borderId="115" xfId="0" applyNumberFormat="1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117" xfId="0" applyFont="1" applyFill="1" applyBorder="1" applyAlignment="1">
      <alignment horizontal="center" vertical="center" wrapText="1"/>
    </xf>
    <xf numFmtId="49" fontId="16" fillId="6" borderId="73" xfId="7" applyNumberFormat="1" applyFont="1" applyFill="1" applyBorder="1" applyAlignment="1">
      <alignment horizontal="center" vertical="center" wrapText="1"/>
    </xf>
    <xf numFmtId="49" fontId="16" fillId="6" borderId="74" xfId="7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6" borderId="81" xfId="0" applyFont="1" applyFill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6" borderId="82" xfId="0" applyFont="1" applyFill="1" applyBorder="1" applyAlignment="1">
      <alignment horizontal="center" vertical="center" wrapText="1"/>
    </xf>
    <xf numFmtId="0" fontId="74" fillId="1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8" fillId="6" borderId="56" xfId="0" applyNumberFormat="1" applyFont="1" applyFill="1" applyBorder="1" applyAlignment="1">
      <alignment horizontal="center" vertical="center" wrapText="1"/>
    </xf>
    <xf numFmtId="49" fontId="89" fillId="6" borderId="57" xfId="0" applyNumberFormat="1" applyFont="1" applyFill="1" applyBorder="1" applyAlignment="1">
      <alignment horizontal="center" vertical="center" wrapText="1"/>
    </xf>
    <xf numFmtId="49" fontId="89" fillId="6" borderId="58" xfId="0" applyNumberFormat="1" applyFont="1" applyFill="1" applyBorder="1" applyAlignment="1">
      <alignment horizontal="center" vertical="center" wrapText="1"/>
    </xf>
    <xf numFmtId="0" fontId="83" fillId="6" borderId="0" xfId="0" applyFont="1" applyFill="1" applyAlignment="1">
      <alignment horizontal="center" vertical="center" wrapText="1"/>
    </xf>
    <xf numFmtId="0" fontId="78" fillId="6" borderId="40" xfId="0" applyFont="1" applyFill="1" applyBorder="1" applyAlignment="1">
      <alignment horizontal="center" vertical="center" wrapText="1"/>
    </xf>
    <xf numFmtId="0" fontId="88" fillId="6" borderId="0" xfId="0" applyFont="1" applyFill="1" applyAlignment="1">
      <alignment horizontal="center" vertical="center" wrapText="1"/>
    </xf>
    <xf numFmtId="0" fontId="89" fillId="6" borderId="31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74" fillId="1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6" borderId="0" xfId="0" applyFont="1" applyFill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49" fontId="22" fillId="6" borderId="30" xfId="0" applyNumberFormat="1" applyFont="1" applyFill="1" applyBorder="1" applyAlignment="1">
      <alignment horizontal="center" vertical="center" wrapText="1"/>
    </xf>
    <xf numFmtId="49" fontId="22" fillId="6" borderId="29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13" fillId="0" borderId="84" xfId="0" applyFont="1" applyBorder="1" applyAlignment="1">
      <alignment horizontal="left" vertical="center" wrapText="1"/>
    </xf>
    <xf numFmtId="49" fontId="16" fillId="6" borderId="86" xfId="7" applyNumberFormat="1" applyFont="1" applyFill="1" applyBorder="1" applyAlignment="1">
      <alignment horizontal="center" vertical="center" wrapText="1"/>
    </xf>
    <xf numFmtId="49" fontId="16" fillId="6" borderId="87" xfId="7" applyNumberFormat="1" applyFont="1" applyFill="1" applyBorder="1" applyAlignment="1">
      <alignment horizontal="center" vertical="center" wrapText="1"/>
    </xf>
    <xf numFmtId="49" fontId="16" fillId="6" borderId="88" xfId="7" applyNumberFormat="1" applyFont="1" applyFill="1" applyBorder="1" applyAlignment="1">
      <alignment horizontal="center" vertical="center" wrapText="1"/>
    </xf>
    <xf numFmtId="0" fontId="16" fillId="6" borderId="92" xfId="7" applyFont="1" applyFill="1" applyBorder="1" applyAlignment="1">
      <alignment horizontal="center" vertical="center" wrapText="1"/>
    </xf>
    <xf numFmtId="0" fontId="16" fillId="6" borderId="40" xfId="7" applyFont="1" applyFill="1" applyBorder="1" applyAlignment="1">
      <alignment horizontal="center" vertical="center" wrapText="1"/>
    </xf>
    <xf numFmtId="0" fontId="90" fillId="0" borderId="84" xfId="7" applyFont="1" applyBorder="1"/>
    <xf numFmtId="0" fontId="0" fillId="0" borderId="84" xfId="0" applyBorder="1"/>
    <xf numFmtId="49" fontId="16" fillId="6" borderId="98" xfId="7" applyNumberFormat="1" applyFont="1" applyFill="1" applyBorder="1" applyAlignment="1">
      <alignment horizontal="center" vertical="center" wrapText="1"/>
    </xf>
    <xf numFmtId="49" fontId="12" fillId="6" borderId="92" xfId="7" applyNumberFormat="1" applyFont="1" applyFill="1" applyBorder="1" applyAlignment="1">
      <alignment horizontal="center" vertical="center" wrapText="1"/>
    </xf>
    <xf numFmtId="49" fontId="12" fillId="6" borderId="85" xfId="7" applyNumberFormat="1" applyFont="1" applyFill="1" applyBorder="1" applyAlignment="1">
      <alignment horizontal="center" vertical="center" wrapText="1"/>
    </xf>
    <xf numFmtId="49" fontId="16" fillId="6" borderId="92" xfId="7" applyNumberFormat="1" applyFont="1" applyFill="1" applyBorder="1" applyAlignment="1">
      <alignment horizontal="center" vertical="center" wrapText="1"/>
    </xf>
    <xf numFmtId="0" fontId="16" fillId="6" borderId="85" xfId="7" applyFont="1" applyFill="1" applyBorder="1" applyAlignment="1">
      <alignment horizontal="center" vertical="center" wrapText="1"/>
    </xf>
    <xf numFmtId="0" fontId="16" fillId="6" borderId="42" xfId="7" applyFont="1" applyFill="1" applyBorder="1" applyAlignment="1">
      <alignment horizontal="center" vertical="center" wrapText="1"/>
    </xf>
    <xf numFmtId="0" fontId="16" fillId="6" borderId="45" xfId="7" applyFont="1" applyFill="1" applyBorder="1" applyAlignment="1">
      <alignment horizontal="center" vertical="center" wrapText="1"/>
    </xf>
    <xf numFmtId="0" fontId="16" fillId="6" borderId="87" xfId="7" applyFont="1" applyFill="1" applyBorder="1" applyAlignment="1">
      <alignment horizontal="center" vertical="center" wrapText="1"/>
    </xf>
    <xf numFmtId="0" fontId="94" fillId="0" borderId="105" xfId="7" applyFont="1" applyBorder="1" applyAlignment="1">
      <alignment wrapText="1"/>
    </xf>
    <xf numFmtId="0" fontId="0" fillId="0" borderId="105" xfId="0" applyBorder="1"/>
    <xf numFmtId="0" fontId="21" fillId="6" borderId="16" xfId="3" applyFont="1" applyFill="1" applyBorder="1" applyAlignment="1">
      <alignment horizontal="center" vertical="center" wrapText="1"/>
    </xf>
    <xf numFmtId="0" fontId="21" fillId="6" borderId="14" xfId="3" applyFont="1" applyFill="1" applyBorder="1" applyAlignment="1">
      <alignment horizontal="center" vertical="center" wrapText="1"/>
    </xf>
    <xf numFmtId="0" fontId="5" fillId="6" borderId="22" xfId="3" applyFont="1" applyFill="1" applyBorder="1" applyAlignment="1">
      <alignment horizontal="center" vertical="center" wrapText="1"/>
    </xf>
    <xf numFmtId="0" fontId="5" fillId="6" borderId="33" xfId="3" applyFont="1" applyFill="1" applyBorder="1" applyAlignment="1">
      <alignment horizontal="center" vertical="center" wrapText="1"/>
    </xf>
    <xf numFmtId="49" fontId="21" fillId="6" borderId="30" xfId="3" applyNumberFormat="1" applyFont="1" applyFill="1" applyBorder="1" applyAlignment="1">
      <alignment horizontal="center" vertical="center" wrapText="1"/>
    </xf>
    <xf numFmtId="49" fontId="21" fillId="6" borderId="28" xfId="3" applyNumberFormat="1" applyFont="1" applyFill="1" applyBorder="1" applyAlignment="1">
      <alignment horizontal="center" vertical="center" wrapText="1"/>
    </xf>
    <xf numFmtId="49" fontId="21" fillId="6" borderId="29" xfId="3" applyNumberFormat="1" applyFont="1" applyFill="1" applyBorder="1" applyAlignment="1">
      <alignment horizontal="center" vertical="center" wrapText="1"/>
    </xf>
    <xf numFmtId="0" fontId="5" fillId="6" borderId="21" xfId="3" applyFont="1" applyFill="1" applyBorder="1" applyAlignment="1">
      <alignment horizontal="center" vertical="center" wrapText="1"/>
    </xf>
    <xf numFmtId="0" fontId="116" fillId="0" borderId="105" xfId="7" applyFont="1" applyBorder="1"/>
    <xf numFmtId="0" fontId="38" fillId="0" borderId="105" xfId="0" applyFont="1" applyBorder="1"/>
    <xf numFmtId="49" fontId="114" fillId="6" borderId="106" xfId="3" applyNumberFormat="1" applyFont="1" applyFill="1" applyBorder="1" applyAlignment="1">
      <alignment horizontal="center" vertical="center" wrapText="1"/>
    </xf>
    <xf numFmtId="49" fontId="114" fillId="6" borderId="107" xfId="3" applyNumberFormat="1" applyFont="1" applyFill="1" applyBorder="1" applyAlignment="1">
      <alignment horizontal="center" vertical="center" wrapText="1"/>
    </xf>
    <xf numFmtId="49" fontId="114" fillId="6" borderId="108" xfId="3" applyNumberFormat="1" applyFont="1" applyFill="1" applyBorder="1" applyAlignment="1">
      <alignment horizontal="center" vertical="center" wrapText="1"/>
    </xf>
    <xf numFmtId="0" fontId="115" fillId="6" borderId="33" xfId="3" applyFont="1" applyFill="1" applyBorder="1" applyAlignment="1">
      <alignment horizontal="center" vertical="center" wrapText="1"/>
    </xf>
    <xf numFmtId="0" fontId="115" fillId="6" borderId="21" xfId="3" applyFont="1" applyFill="1" applyBorder="1" applyAlignment="1">
      <alignment horizontal="center" vertical="center" wrapText="1"/>
    </xf>
    <xf numFmtId="0" fontId="115" fillId="6" borderId="109" xfId="3" applyFont="1" applyFill="1" applyBorder="1" applyAlignment="1">
      <alignment horizontal="center" vertical="center" wrapText="1"/>
    </xf>
    <xf numFmtId="0" fontId="114" fillId="6" borderId="0" xfId="3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115" fillId="6" borderId="22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1" fillId="6" borderId="0" xfId="3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5" fillId="6" borderId="109" xfId="3" applyFont="1" applyFill="1" applyBorder="1" applyAlignment="1">
      <alignment horizontal="center" vertical="center" wrapText="1"/>
    </xf>
    <xf numFmtId="49" fontId="21" fillId="6" borderId="106" xfId="3" applyNumberFormat="1" applyFont="1" applyFill="1" applyBorder="1" applyAlignment="1">
      <alignment horizontal="center" vertical="center" wrapText="1"/>
    </xf>
    <xf numFmtId="49" fontId="21" fillId="6" borderId="107" xfId="3" applyNumberFormat="1" applyFont="1" applyFill="1" applyBorder="1" applyAlignment="1">
      <alignment horizontal="center" vertical="center" wrapText="1"/>
    </xf>
    <xf numFmtId="49" fontId="21" fillId="6" borderId="108" xfId="3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2" fillId="0" borderId="162" xfId="0" applyNumberFormat="1" applyFont="1" applyBorder="1" applyAlignment="1">
      <alignment horizontal="center" vertical="center"/>
    </xf>
    <xf numFmtId="49" fontId="22" fillId="0" borderId="163" xfId="0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Alignment="1">
      <alignment vertical="center"/>
    </xf>
    <xf numFmtId="0" fontId="9" fillId="6" borderId="0" xfId="7" applyFont="1" applyFill="1" applyAlignment="1">
      <alignment horizontal="center" vertical="center" wrapText="1"/>
    </xf>
    <xf numFmtId="0" fontId="9" fillId="6" borderId="15" xfId="7" applyFont="1" applyFill="1" applyBorder="1" applyAlignment="1">
      <alignment horizontal="center" vertical="center" wrapText="1"/>
    </xf>
    <xf numFmtId="0" fontId="10" fillId="6" borderId="0" xfId="7" applyFont="1" applyFill="1" applyAlignment="1">
      <alignment horizontal="center" vertical="center" wrapText="1"/>
    </xf>
    <xf numFmtId="0" fontId="10" fillId="6" borderId="15" xfId="7" applyFont="1" applyFill="1" applyBorder="1" applyAlignment="1">
      <alignment horizontal="center" vertical="center" wrapText="1"/>
    </xf>
    <xf numFmtId="49" fontId="10" fillId="6" borderId="15" xfId="7" applyNumberFormat="1" applyFont="1" applyFill="1" applyBorder="1" applyAlignment="1">
      <alignment horizontal="center" vertical="center" wrapText="1"/>
    </xf>
    <xf numFmtId="49" fontId="10" fillId="6" borderId="14" xfId="7" applyNumberFormat="1" applyFont="1" applyFill="1" applyBorder="1" applyAlignment="1">
      <alignment horizontal="center" vertical="center" wrapText="1"/>
    </xf>
    <xf numFmtId="49" fontId="10" fillId="6" borderId="23" xfId="7" applyNumberFormat="1" applyFont="1" applyFill="1" applyBorder="1" applyAlignment="1">
      <alignment horizontal="center" vertical="center" wrapText="1"/>
    </xf>
    <xf numFmtId="0" fontId="9" fillId="6" borderId="83" xfId="7" applyFont="1" applyFill="1" applyBorder="1" applyAlignment="1">
      <alignment horizontal="center" vertical="center" wrapText="1"/>
    </xf>
    <xf numFmtId="0" fontId="9" fillId="6" borderId="36" xfId="7" applyFont="1" applyFill="1" applyBorder="1" applyAlignment="1">
      <alignment horizontal="center" vertical="center" wrapText="1"/>
    </xf>
    <xf numFmtId="0" fontId="95" fillId="4" borderId="105" xfId="7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22" fillId="6" borderId="126" xfId="0" applyFont="1" applyFill="1" applyBorder="1" applyAlignment="1">
      <alignment horizontal="center" vertical="center" wrapText="1"/>
    </xf>
    <xf numFmtId="49" fontId="22" fillId="6" borderId="127" xfId="0" applyNumberFormat="1" applyFont="1" applyFill="1" applyBorder="1" applyAlignment="1">
      <alignment horizontal="center" vertical="center" wrapText="1"/>
    </xf>
    <xf numFmtId="49" fontId="2" fillId="6" borderId="127" xfId="0" applyNumberFormat="1" applyFont="1" applyFill="1" applyBorder="1" applyAlignment="1">
      <alignment horizontal="center" vertical="center" wrapText="1"/>
    </xf>
    <xf numFmtId="49" fontId="2" fillId="6" borderId="128" xfId="0" applyNumberFormat="1" applyFont="1" applyFill="1" applyBorder="1" applyAlignment="1">
      <alignment horizontal="center" vertical="center" wrapText="1"/>
    </xf>
    <xf numFmtId="0" fontId="22" fillId="6" borderId="112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9" fillId="6" borderId="122" xfId="0" applyFont="1" applyFill="1" applyBorder="1" applyAlignment="1">
      <alignment horizontal="center" vertical="center" wrapText="1"/>
    </xf>
    <xf numFmtId="0" fontId="9" fillId="6" borderId="1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7">
    <dxf>
      <font>
        <color auto="1"/>
      </font>
    </dxf>
    <dxf>
      <font>
        <color rgb="FF00B050"/>
      </font>
    </dxf>
    <dxf>
      <font>
        <color rgb="FFC0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DADF21"/>
      <color rgb="FFFFFFCC"/>
      <color rgb="FFA50021"/>
      <color rgb="FFFF4B4B"/>
      <color rgb="FFFF6565"/>
      <color rgb="FFFABF8F"/>
      <color rgb="FF0000FF"/>
      <color rgb="FFFFFF99"/>
      <color rgb="FF800000"/>
      <color rgb="FFC4C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</xdr:colOff>
      <xdr:row>0</xdr:row>
      <xdr:rowOff>100013</xdr:rowOff>
    </xdr:from>
    <xdr:to>
      <xdr:col>1</xdr:col>
      <xdr:colOff>435768</xdr:colOff>
      <xdr:row>1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187" y="100013"/>
          <a:ext cx="326231" cy="185737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</xdr:row>
      <xdr:rowOff>35560</xdr:rowOff>
    </xdr:from>
    <xdr:to>
      <xdr:col>13</xdr:col>
      <xdr:colOff>520700</xdr:colOff>
      <xdr:row>1</xdr:row>
      <xdr:rowOff>167640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6822440" y="355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231140</xdr:colOff>
      <xdr:row>1</xdr:row>
      <xdr:rowOff>22860</xdr:rowOff>
    </xdr:from>
    <xdr:to>
      <xdr:col>13</xdr:col>
      <xdr:colOff>535940</xdr:colOff>
      <xdr:row>1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7424420" y="228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0</xdr:row>
      <xdr:rowOff>44450</xdr:rowOff>
    </xdr:from>
    <xdr:to>
      <xdr:col>7</xdr:col>
      <xdr:colOff>463550</xdr:colOff>
      <xdr:row>0</xdr:row>
      <xdr:rowOff>177800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SpPr/>
      </xdr:nvSpPr>
      <xdr:spPr>
        <a:xfrm>
          <a:off x="85026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50800</xdr:rowOff>
    </xdr:from>
    <xdr:to>
      <xdr:col>6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50800</xdr:rowOff>
    </xdr:from>
    <xdr:to>
      <xdr:col>6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4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4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4B77-0F1D-440F-AC62-E55E4275B973}">
  <sheetPr codeName="Sheet60">
    <tabColor theme="5" tint="-0.499984740745262"/>
  </sheetPr>
  <dimension ref="A1:AN130"/>
  <sheetViews>
    <sheetView zoomScale="80" zoomScaleNormal="80" workbookViewId="0"/>
  </sheetViews>
  <sheetFormatPr defaultColWidth="9.109375" defaultRowHeight="14.4" x14ac:dyDescent="0.3"/>
  <cols>
    <col min="3" max="3" width="32.109375" customWidth="1"/>
    <col min="4" max="14" width="17.6640625" customWidth="1"/>
    <col min="15" max="17" width="14" customWidth="1"/>
    <col min="18" max="18" width="16.6640625" customWidth="1"/>
    <col min="19" max="22" width="14" customWidth="1"/>
    <col min="23" max="23" width="15.33203125" bestFit="1" customWidth="1"/>
    <col min="24" max="24" width="15.33203125" style="367" customWidth="1"/>
    <col min="27" max="27" width="48.109375" customWidth="1"/>
    <col min="28" max="32" width="13.6640625" bestFit="1" customWidth="1"/>
    <col min="33" max="33" width="15.33203125" bestFit="1" customWidth="1"/>
    <col min="34" max="35" width="13.6640625" bestFit="1" customWidth="1"/>
    <col min="36" max="36" width="6.6640625" customWidth="1"/>
    <col min="37" max="37" width="4.6640625" bestFit="1" customWidth="1"/>
    <col min="38" max="38" width="16.109375" customWidth="1"/>
    <col min="39" max="39" width="11.44140625" style="362" customWidth="1"/>
    <col min="40" max="40" width="9.109375" style="367"/>
  </cols>
  <sheetData>
    <row r="1" spans="1:39" x14ac:dyDescent="0.3">
      <c r="X1" s="363"/>
      <c r="Z1" s="40"/>
      <c r="AA1" s="41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9" ht="15" customHeight="1" x14ac:dyDescent="0.3">
      <c r="A2" s="133"/>
      <c r="B2" s="46"/>
      <c r="C2" s="46"/>
      <c r="D2" s="43"/>
      <c r="E2" s="43"/>
      <c r="F2" s="43"/>
      <c r="G2" s="43"/>
      <c r="H2" s="43"/>
      <c r="I2" s="43"/>
      <c r="J2" s="43"/>
      <c r="K2" s="43"/>
      <c r="L2" s="43"/>
      <c r="M2" s="136" t="s">
        <v>654</v>
      </c>
      <c r="N2" s="137"/>
      <c r="O2" s="39"/>
      <c r="P2" s="39"/>
      <c r="Q2" s="39"/>
      <c r="R2" s="39"/>
      <c r="S2" s="39"/>
      <c r="T2" s="39"/>
      <c r="U2" s="39"/>
      <c r="V2" s="136" t="s">
        <v>654</v>
      </c>
      <c r="W2" s="137"/>
      <c r="X2" s="363"/>
      <c r="Z2" s="133"/>
      <c r="AA2" s="41"/>
      <c r="AB2" s="42"/>
      <c r="AC2" s="42"/>
      <c r="AD2" s="42"/>
      <c r="AE2" s="42"/>
      <c r="AF2" s="42"/>
      <c r="AG2" s="42"/>
      <c r="AH2" s="42"/>
      <c r="AI2" s="42"/>
      <c r="AJ2" s="42"/>
      <c r="AK2" s="136" t="s">
        <v>654</v>
      </c>
      <c r="AL2" s="137"/>
    </row>
    <row r="3" spans="1:39" x14ac:dyDescent="0.3">
      <c r="A3" s="139" t="s">
        <v>593</v>
      </c>
      <c r="B3" s="47"/>
      <c r="C3" s="47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39"/>
      <c r="P3" s="39"/>
      <c r="Q3" s="39"/>
      <c r="R3" s="39"/>
      <c r="S3" s="39"/>
      <c r="T3" s="39"/>
      <c r="U3" s="39"/>
      <c r="V3" s="39"/>
      <c r="W3" s="39"/>
      <c r="X3" s="362">
        <f>SUM(X5:Y104)</f>
        <v>-26756.113292101694</v>
      </c>
      <c r="Z3" s="139" t="s">
        <v>215</v>
      </c>
      <c r="AA3" s="41"/>
      <c r="AM3" s="362">
        <f>SUM(AM5:AN104)</f>
        <v>-7286</v>
      </c>
    </row>
    <row r="4" spans="1:39" x14ac:dyDescent="0.3">
      <c r="A4" s="61" t="s">
        <v>216</v>
      </c>
      <c r="B4" s="134" t="s">
        <v>122</v>
      </c>
      <c r="C4" s="135" t="s">
        <v>217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 t="s">
        <v>16</v>
      </c>
      <c r="O4" s="138"/>
      <c r="P4" s="138"/>
      <c r="Q4" s="138"/>
      <c r="R4" s="138"/>
      <c r="S4" s="138"/>
      <c r="T4" s="138"/>
      <c r="U4" s="138"/>
      <c r="V4" s="138"/>
      <c r="W4" s="138" t="s">
        <v>30</v>
      </c>
      <c r="X4" s="364"/>
      <c r="Z4" s="48" t="s">
        <v>216</v>
      </c>
      <c r="AA4" s="48" t="s">
        <v>202</v>
      </c>
      <c r="AB4" s="48"/>
      <c r="AC4" s="48"/>
      <c r="AD4" s="48"/>
      <c r="AE4" s="48"/>
      <c r="AF4" s="48"/>
      <c r="AG4" s="48"/>
      <c r="AH4" s="48"/>
      <c r="AI4" s="48"/>
      <c r="AJ4" s="48"/>
      <c r="AK4" s="48" t="s">
        <v>203</v>
      </c>
      <c r="AL4" s="48" t="s">
        <v>16</v>
      </c>
    </row>
    <row r="5" spans="1:39" x14ac:dyDescent="0.3">
      <c r="A5" s="49" t="s">
        <v>218</v>
      </c>
      <c r="B5" s="50" t="s">
        <v>219</v>
      </c>
      <c r="C5" s="51" t="s">
        <v>220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>
        <f>SUM(D5:M5)</f>
        <v>0</v>
      </c>
      <c r="O5" s="54"/>
      <c r="P5" s="54"/>
      <c r="Q5" s="54"/>
      <c r="R5" s="54"/>
      <c r="S5" s="54"/>
      <c r="T5" s="54"/>
      <c r="U5" s="54"/>
      <c r="V5" s="54"/>
      <c r="W5" s="127">
        <f t="shared" ref="W5:W38" si="0">SUM(O5:V5)</f>
        <v>0</v>
      </c>
      <c r="X5" s="364"/>
      <c r="Z5" s="55" t="s">
        <v>218</v>
      </c>
      <c r="AA5" s="56" t="s">
        <v>221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>
        <f>SUM(AB5:AK5)</f>
        <v>0</v>
      </c>
    </row>
    <row r="6" spans="1:39" ht="41.4" x14ac:dyDescent="0.3">
      <c r="A6" s="49" t="s">
        <v>222</v>
      </c>
      <c r="B6" s="50" t="s">
        <v>223</v>
      </c>
      <c r="C6" s="51" t="s">
        <v>224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3">
        <f t="shared" ref="N6:N7" si="1">SUM(D6:M6)</f>
        <v>0</v>
      </c>
      <c r="O6" s="58"/>
      <c r="P6" s="58"/>
      <c r="Q6" s="58"/>
      <c r="R6" s="58"/>
      <c r="S6" s="58"/>
      <c r="T6" s="58"/>
      <c r="U6" s="58"/>
      <c r="V6" s="58"/>
      <c r="W6" s="128">
        <f t="shared" si="0"/>
        <v>0</v>
      </c>
      <c r="X6" s="364"/>
      <c r="Z6" s="55" t="s">
        <v>225</v>
      </c>
      <c r="AA6" s="59" t="s">
        <v>226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>
        <f t="shared" ref="AL6:AL69" si="2">SUM(AB6:AK6)</f>
        <v>0</v>
      </c>
    </row>
    <row r="7" spans="1:39" ht="27.6" x14ac:dyDescent="0.3">
      <c r="A7" s="49" t="s">
        <v>225</v>
      </c>
      <c r="B7" s="50" t="s">
        <v>227</v>
      </c>
      <c r="C7" s="51" t="s">
        <v>228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>
        <f t="shared" si="1"/>
        <v>0</v>
      </c>
      <c r="O7" s="58"/>
      <c r="P7" s="58"/>
      <c r="Q7" s="58"/>
      <c r="R7" s="58"/>
      <c r="S7" s="58"/>
      <c r="T7" s="58"/>
      <c r="U7" s="58"/>
      <c r="V7" s="58"/>
      <c r="W7" s="128">
        <f t="shared" si="0"/>
        <v>0</v>
      </c>
      <c r="X7" s="364"/>
      <c r="Z7" s="55" t="s">
        <v>229</v>
      </c>
      <c r="AA7" s="59" t="s">
        <v>230</v>
      </c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>
        <f t="shared" si="2"/>
        <v>0</v>
      </c>
    </row>
    <row r="8" spans="1:39" ht="41.4" x14ac:dyDescent="0.3">
      <c r="A8" s="61" t="s">
        <v>229</v>
      </c>
      <c r="B8" s="62" t="s">
        <v>231</v>
      </c>
      <c r="C8" s="63" t="s">
        <v>232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5">
        <f>SUM(D8:M8)</f>
        <v>0</v>
      </c>
      <c r="O8" s="58"/>
      <c r="P8" s="58"/>
      <c r="Q8" s="58"/>
      <c r="R8" s="58"/>
      <c r="S8" s="58"/>
      <c r="T8" s="58"/>
      <c r="U8" s="58"/>
      <c r="V8" s="58"/>
      <c r="W8" s="128">
        <f t="shared" si="0"/>
        <v>0</v>
      </c>
      <c r="X8" s="364"/>
      <c r="Z8" s="55" t="s">
        <v>233</v>
      </c>
      <c r="AA8" s="56" t="s">
        <v>234</v>
      </c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>
        <f t="shared" si="2"/>
        <v>0</v>
      </c>
      <c r="AM8" s="362">
        <f>ROUND(+AL8/1000,0)-ROUND('Tab 27'!D6,0)</f>
        <v>-6568</v>
      </c>
    </row>
    <row r="9" spans="1:39" x14ac:dyDescent="0.3">
      <c r="A9" s="61" t="s">
        <v>233</v>
      </c>
      <c r="B9" s="66" t="s">
        <v>235</v>
      </c>
      <c r="C9" s="67" t="s">
        <v>236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5">
        <f>SUM(D9:M9)</f>
        <v>0</v>
      </c>
      <c r="O9" s="58"/>
      <c r="P9" s="58"/>
      <c r="Q9" s="58"/>
      <c r="R9" s="58"/>
      <c r="S9" s="58"/>
      <c r="T9" s="58"/>
      <c r="U9" s="58"/>
      <c r="V9" s="58"/>
      <c r="W9" s="128">
        <f t="shared" si="0"/>
        <v>0</v>
      </c>
      <c r="X9" s="364"/>
      <c r="Z9" s="69" t="s">
        <v>237</v>
      </c>
      <c r="AA9" s="70" t="s">
        <v>238</v>
      </c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>
        <f t="shared" si="2"/>
        <v>0</v>
      </c>
    </row>
    <row r="10" spans="1:39" ht="41.4" x14ac:dyDescent="0.3">
      <c r="A10" s="61" t="s">
        <v>239</v>
      </c>
      <c r="B10" s="72" t="s">
        <v>240</v>
      </c>
      <c r="C10" s="73" t="s">
        <v>241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5">
        <f>SUM(D10:M10)</f>
        <v>0</v>
      </c>
      <c r="O10" s="54"/>
      <c r="P10" s="54"/>
      <c r="Q10" s="54"/>
      <c r="R10" s="54"/>
      <c r="S10" s="54"/>
      <c r="T10" s="54"/>
      <c r="U10" s="54"/>
      <c r="V10" s="54"/>
      <c r="W10" s="127">
        <f t="shared" si="0"/>
        <v>0</v>
      </c>
      <c r="X10" s="364"/>
      <c r="Z10" s="69" t="s">
        <v>242</v>
      </c>
      <c r="AA10" s="76" t="s">
        <v>243</v>
      </c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>
        <f t="shared" si="2"/>
        <v>0</v>
      </c>
    </row>
    <row r="11" spans="1:39" ht="27.6" x14ac:dyDescent="0.3">
      <c r="A11" s="61" t="s">
        <v>237</v>
      </c>
      <c r="B11" s="66" t="s">
        <v>244</v>
      </c>
      <c r="C11" s="67" t="s">
        <v>245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5">
        <f>SUM(D11:M11)</f>
        <v>0</v>
      </c>
      <c r="O11" s="58"/>
      <c r="P11" s="58"/>
      <c r="Q11" s="58"/>
      <c r="R11" s="58"/>
      <c r="S11" s="58"/>
      <c r="T11" s="58"/>
      <c r="U11" s="58"/>
      <c r="V11" s="58"/>
      <c r="W11" s="128">
        <f t="shared" si="0"/>
        <v>0</v>
      </c>
      <c r="X11" s="364"/>
      <c r="Z11" s="69" t="s">
        <v>246</v>
      </c>
      <c r="AA11" s="78" t="s">
        <v>247</v>
      </c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>
        <f t="shared" si="2"/>
        <v>0</v>
      </c>
    </row>
    <row r="12" spans="1:39" x14ac:dyDescent="0.3">
      <c r="A12" s="61" t="s">
        <v>242</v>
      </c>
      <c r="B12" s="66" t="s">
        <v>248</v>
      </c>
      <c r="C12" s="67" t="s">
        <v>249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5">
        <f t="shared" ref="N12:N42" si="3">SUM(D12:M12)</f>
        <v>0</v>
      </c>
      <c r="O12" s="58"/>
      <c r="P12" s="58"/>
      <c r="Q12" s="58"/>
      <c r="R12" s="58"/>
      <c r="S12" s="58"/>
      <c r="T12" s="58"/>
      <c r="U12" s="58"/>
      <c r="V12" s="58"/>
      <c r="W12" s="128">
        <f t="shared" si="0"/>
        <v>0</v>
      </c>
      <c r="X12" s="364"/>
      <c r="Z12" s="69" t="s">
        <v>250</v>
      </c>
      <c r="AA12" s="78" t="s">
        <v>251</v>
      </c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>
        <f t="shared" si="2"/>
        <v>0</v>
      </c>
    </row>
    <row r="13" spans="1:39" ht="27.6" x14ac:dyDescent="0.3">
      <c r="A13" s="61" t="s">
        <v>246</v>
      </c>
      <c r="B13" s="66" t="s">
        <v>252</v>
      </c>
      <c r="C13" s="67" t="s">
        <v>253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65">
        <f t="shared" si="3"/>
        <v>0</v>
      </c>
      <c r="O13" s="54"/>
      <c r="P13" s="54"/>
      <c r="Q13" s="54"/>
      <c r="R13" s="54"/>
      <c r="S13" s="54"/>
      <c r="T13" s="54"/>
      <c r="U13" s="54"/>
      <c r="V13" s="54"/>
      <c r="W13" s="127">
        <f t="shared" si="0"/>
        <v>0</v>
      </c>
      <c r="X13" s="364"/>
      <c r="Z13" s="69" t="s">
        <v>254</v>
      </c>
      <c r="AA13" s="78" t="s">
        <v>255</v>
      </c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>
        <f t="shared" si="2"/>
        <v>0</v>
      </c>
    </row>
    <row r="14" spans="1:39" ht="41.4" x14ac:dyDescent="0.3">
      <c r="A14" s="61" t="s">
        <v>250</v>
      </c>
      <c r="B14" s="66" t="s">
        <v>256</v>
      </c>
      <c r="C14" s="67" t="s">
        <v>257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5">
        <f t="shared" si="3"/>
        <v>0</v>
      </c>
      <c r="O14" s="58"/>
      <c r="P14" s="58"/>
      <c r="Q14" s="58"/>
      <c r="R14" s="58"/>
      <c r="S14" s="58"/>
      <c r="T14" s="58"/>
      <c r="U14" s="58"/>
      <c r="V14" s="58"/>
      <c r="W14" s="128">
        <f t="shared" si="0"/>
        <v>0</v>
      </c>
      <c r="X14" s="364"/>
      <c r="Z14" s="69" t="s">
        <v>258</v>
      </c>
      <c r="AA14" s="78" t="s">
        <v>259</v>
      </c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>
        <f t="shared" si="2"/>
        <v>0</v>
      </c>
    </row>
    <row r="15" spans="1:39" ht="41.4" x14ac:dyDescent="0.3">
      <c r="A15" s="61" t="s">
        <v>254</v>
      </c>
      <c r="B15" s="66" t="s">
        <v>260</v>
      </c>
      <c r="C15" s="67" t="s">
        <v>261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5">
        <f t="shared" si="3"/>
        <v>0</v>
      </c>
      <c r="O15" s="54"/>
      <c r="P15" s="54"/>
      <c r="Q15" s="54"/>
      <c r="R15" s="54"/>
      <c r="S15" s="54"/>
      <c r="T15" s="54"/>
      <c r="U15" s="54"/>
      <c r="V15" s="54"/>
      <c r="W15" s="127">
        <f t="shared" si="0"/>
        <v>0</v>
      </c>
      <c r="X15" s="364"/>
      <c r="Z15" s="69" t="s">
        <v>262</v>
      </c>
      <c r="AA15" s="78" t="s">
        <v>263</v>
      </c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>
        <f t="shared" si="2"/>
        <v>0</v>
      </c>
    </row>
    <row r="16" spans="1:39" ht="69" x14ac:dyDescent="0.3">
      <c r="A16" s="61" t="s">
        <v>264</v>
      </c>
      <c r="B16" s="66" t="s">
        <v>265</v>
      </c>
      <c r="C16" s="67" t="s">
        <v>266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5">
        <f t="shared" si="3"/>
        <v>0</v>
      </c>
      <c r="O16" s="58"/>
      <c r="P16" s="58"/>
      <c r="Q16" s="58"/>
      <c r="R16" s="58"/>
      <c r="S16" s="58"/>
      <c r="T16" s="58"/>
      <c r="U16" s="58"/>
      <c r="V16" s="58"/>
      <c r="W16" s="128">
        <f t="shared" si="0"/>
        <v>0</v>
      </c>
      <c r="X16" s="364"/>
      <c r="Z16" s="69" t="s">
        <v>267</v>
      </c>
      <c r="AA16" s="78" t="s">
        <v>268</v>
      </c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>
        <f t="shared" si="2"/>
        <v>0</v>
      </c>
    </row>
    <row r="17" spans="1:38" ht="55.2" x14ac:dyDescent="0.3">
      <c r="A17" s="61" t="s">
        <v>269</v>
      </c>
      <c r="B17" s="66" t="s">
        <v>270</v>
      </c>
      <c r="C17" s="67" t="s">
        <v>271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5">
        <f t="shared" si="3"/>
        <v>0</v>
      </c>
      <c r="O17" s="58"/>
      <c r="P17" s="58"/>
      <c r="Q17" s="58"/>
      <c r="R17" s="58"/>
      <c r="S17" s="58"/>
      <c r="T17" s="58"/>
      <c r="U17" s="58"/>
      <c r="V17" s="58"/>
      <c r="W17" s="128">
        <f t="shared" si="0"/>
        <v>0</v>
      </c>
      <c r="X17" s="364"/>
      <c r="Z17" s="69" t="s">
        <v>272</v>
      </c>
      <c r="AA17" s="78" t="s">
        <v>273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>
        <f t="shared" si="2"/>
        <v>0</v>
      </c>
    </row>
    <row r="18" spans="1:38" x14ac:dyDescent="0.3">
      <c r="A18" s="61" t="s">
        <v>272</v>
      </c>
      <c r="B18" s="62" t="s">
        <v>274</v>
      </c>
      <c r="C18" s="63" t="s">
        <v>275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>
        <f t="shared" si="3"/>
        <v>0</v>
      </c>
      <c r="O18" s="58"/>
      <c r="P18" s="58"/>
      <c r="Q18" s="58"/>
      <c r="R18" s="58"/>
      <c r="S18" s="58"/>
      <c r="T18" s="58"/>
      <c r="U18" s="58"/>
      <c r="V18" s="58"/>
      <c r="W18" s="128">
        <f t="shared" si="0"/>
        <v>0</v>
      </c>
      <c r="X18" s="364"/>
      <c r="Z18" s="69" t="s">
        <v>276</v>
      </c>
      <c r="AA18" s="78" t="s">
        <v>277</v>
      </c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>
        <f t="shared" si="2"/>
        <v>0</v>
      </c>
    </row>
    <row r="19" spans="1:38" x14ac:dyDescent="0.3">
      <c r="A19" s="61" t="s">
        <v>276</v>
      </c>
      <c r="B19" s="66" t="s">
        <v>278</v>
      </c>
      <c r="C19" s="67" t="s">
        <v>279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5">
        <f>SUM(D19:M19)</f>
        <v>0</v>
      </c>
      <c r="O19" s="54"/>
      <c r="P19" s="54"/>
      <c r="Q19" s="54"/>
      <c r="R19" s="54"/>
      <c r="S19" s="54"/>
      <c r="T19" s="54"/>
      <c r="U19" s="54"/>
      <c r="V19" s="54"/>
      <c r="W19" s="127">
        <f t="shared" si="0"/>
        <v>0</v>
      </c>
      <c r="X19" s="365">
        <f>ROUND(+W19/1000,0)-ROUND('Tab 29'!D6,0)</f>
        <v>-24</v>
      </c>
      <c r="Z19" s="69" t="s">
        <v>280</v>
      </c>
      <c r="AA19" s="78" t="s">
        <v>281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>
        <f t="shared" si="2"/>
        <v>0</v>
      </c>
    </row>
    <row r="20" spans="1:38" x14ac:dyDescent="0.3">
      <c r="A20" s="61" t="s">
        <v>280</v>
      </c>
      <c r="B20" s="66" t="s">
        <v>282</v>
      </c>
      <c r="C20" s="67" t="s">
        <v>283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65">
        <f t="shared" si="3"/>
        <v>0</v>
      </c>
      <c r="O20" s="54"/>
      <c r="P20" s="54"/>
      <c r="Q20" s="54"/>
      <c r="R20" s="54"/>
      <c r="S20" s="54"/>
      <c r="T20" s="54"/>
      <c r="U20" s="54"/>
      <c r="V20" s="54"/>
      <c r="W20" s="127">
        <f t="shared" si="0"/>
        <v>0</v>
      </c>
      <c r="X20" s="365">
        <f>ROUND(+W20/1000,0)-ROUND('Tab 29'!D7,0)</f>
        <v>-174</v>
      </c>
      <c r="Z20" s="69" t="s">
        <v>284</v>
      </c>
      <c r="AA20" s="78" t="s">
        <v>285</v>
      </c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>
        <f t="shared" si="2"/>
        <v>0</v>
      </c>
    </row>
    <row r="21" spans="1:38" ht="27.6" x14ac:dyDescent="0.3">
      <c r="A21" s="61" t="s">
        <v>284</v>
      </c>
      <c r="B21" s="66" t="s">
        <v>286</v>
      </c>
      <c r="C21" s="81" t="s">
        <v>287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5">
        <f t="shared" si="3"/>
        <v>0</v>
      </c>
      <c r="O21" s="54"/>
      <c r="P21" s="54"/>
      <c r="Q21" s="54"/>
      <c r="R21" s="54"/>
      <c r="S21" s="54"/>
      <c r="T21" s="54"/>
      <c r="U21" s="54"/>
      <c r="V21" s="54"/>
      <c r="W21" s="127">
        <f t="shared" si="0"/>
        <v>0</v>
      </c>
      <c r="X21" s="365">
        <f>ROUND(+W21/1000,0)-ROUND('Tab 29'!D8,0)</f>
        <v>-418</v>
      </c>
      <c r="Z21" s="69" t="s">
        <v>288</v>
      </c>
      <c r="AA21" s="78" t="s">
        <v>289</v>
      </c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>
        <f t="shared" si="2"/>
        <v>0</v>
      </c>
    </row>
    <row r="22" spans="1:38" ht="69" x14ac:dyDescent="0.3">
      <c r="A22" s="61" t="s">
        <v>288</v>
      </c>
      <c r="B22" s="66" t="s">
        <v>290</v>
      </c>
      <c r="C22" s="67" t="s">
        <v>291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5">
        <f>SUM(D22:M22)</f>
        <v>0</v>
      </c>
      <c r="O22" s="54"/>
      <c r="P22" s="54"/>
      <c r="Q22" s="54"/>
      <c r="R22" s="54"/>
      <c r="S22" s="54"/>
      <c r="T22" s="54"/>
      <c r="U22" s="54"/>
      <c r="V22" s="54"/>
      <c r="W22" s="127">
        <f t="shared" si="0"/>
        <v>0</v>
      </c>
      <c r="X22" s="365">
        <f>ROUND(+W22/1000,0)-ROUND('Tab 29'!D9,0)</f>
        <v>0</v>
      </c>
      <c r="Z22" s="69" t="s">
        <v>292</v>
      </c>
      <c r="AA22" s="78" t="s">
        <v>293</v>
      </c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>
        <f t="shared" si="2"/>
        <v>0</v>
      </c>
    </row>
    <row r="23" spans="1:38" ht="41.4" x14ac:dyDescent="0.3">
      <c r="A23" s="61" t="s">
        <v>292</v>
      </c>
      <c r="B23" s="62" t="s">
        <v>294</v>
      </c>
      <c r="C23" s="63" t="s">
        <v>43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>
        <f t="shared" si="3"/>
        <v>0</v>
      </c>
      <c r="O23" s="54"/>
      <c r="P23" s="54"/>
      <c r="Q23" s="54"/>
      <c r="R23" s="54"/>
      <c r="S23" s="54"/>
      <c r="T23" s="54"/>
      <c r="U23" s="54"/>
      <c r="V23" s="54"/>
      <c r="W23" s="127">
        <f t="shared" si="0"/>
        <v>0</v>
      </c>
      <c r="X23" s="365">
        <f>ROUND(+W23/1000,0)+ROUND((W5+W10+W13+W15)/1000,0)-ROUND('Tab 29'!D10,0)</f>
        <v>-12067</v>
      </c>
      <c r="Z23" s="69" t="s">
        <v>295</v>
      </c>
      <c r="AA23" s="78" t="s">
        <v>296</v>
      </c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>
        <f t="shared" si="2"/>
        <v>0</v>
      </c>
    </row>
    <row r="24" spans="1:38" x14ac:dyDescent="0.3">
      <c r="A24" s="61" t="s">
        <v>297</v>
      </c>
      <c r="B24" s="62" t="s">
        <v>298</v>
      </c>
      <c r="C24" s="63" t="s">
        <v>45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>
        <f t="shared" si="3"/>
        <v>0</v>
      </c>
      <c r="O24" s="58"/>
      <c r="P24" s="58"/>
      <c r="Q24" s="58"/>
      <c r="R24" s="58"/>
      <c r="S24" s="58"/>
      <c r="T24" s="58"/>
      <c r="U24" s="58"/>
      <c r="V24" s="58"/>
      <c r="W24" s="128">
        <f t="shared" si="0"/>
        <v>0</v>
      </c>
      <c r="X24" s="364"/>
      <c r="Z24" s="69" t="s">
        <v>297</v>
      </c>
      <c r="AA24" s="82" t="s">
        <v>299</v>
      </c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>
        <f t="shared" si="2"/>
        <v>0</v>
      </c>
    </row>
    <row r="25" spans="1:38" ht="27.6" x14ac:dyDescent="0.3">
      <c r="A25" s="61" t="s">
        <v>300</v>
      </c>
      <c r="B25" s="62" t="s">
        <v>301</v>
      </c>
      <c r="C25" s="63" t="s">
        <v>302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65">
        <f t="shared" si="3"/>
        <v>0</v>
      </c>
      <c r="O25" s="58"/>
      <c r="P25" s="58"/>
      <c r="Q25" s="58"/>
      <c r="R25" s="58"/>
      <c r="S25" s="58"/>
      <c r="T25" s="58"/>
      <c r="U25" s="58"/>
      <c r="V25" s="58"/>
      <c r="W25" s="128">
        <f t="shared" si="0"/>
        <v>0</v>
      </c>
      <c r="X25" s="364"/>
      <c r="Z25" s="69" t="s">
        <v>300</v>
      </c>
      <c r="AA25" s="78" t="s">
        <v>303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>
        <f t="shared" si="2"/>
        <v>0</v>
      </c>
    </row>
    <row r="26" spans="1:38" ht="55.2" x14ac:dyDescent="0.3">
      <c r="A26" s="61" t="s">
        <v>304</v>
      </c>
      <c r="B26" s="84" t="s">
        <v>305</v>
      </c>
      <c r="C26" s="73" t="s">
        <v>306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>
        <f>SUM(D26:M26)</f>
        <v>0</v>
      </c>
      <c r="O26" s="58"/>
      <c r="P26" s="58"/>
      <c r="Q26" s="58"/>
      <c r="R26" s="58"/>
      <c r="S26" s="58"/>
      <c r="T26" s="58"/>
      <c r="U26" s="58"/>
      <c r="V26" s="58"/>
      <c r="W26" s="128">
        <f t="shared" si="0"/>
        <v>0</v>
      </c>
      <c r="X26" s="364"/>
      <c r="Z26" s="85" t="s">
        <v>307</v>
      </c>
      <c r="AA26" s="82" t="s">
        <v>308</v>
      </c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>
        <f t="shared" si="2"/>
        <v>0</v>
      </c>
    </row>
    <row r="27" spans="1:38" ht="41.4" x14ac:dyDescent="0.3">
      <c r="A27" s="86" t="s">
        <v>309</v>
      </c>
      <c r="B27" s="62" t="s">
        <v>310</v>
      </c>
      <c r="C27" s="63" t="s">
        <v>311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65">
        <f t="shared" si="3"/>
        <v>0</v>
      </c>
      <c r="O27" s="58"/>
      <c r="P27" s="58"/>
      <c r="Q27" s="58"/>
      <c r="R27" s="58"/>
      <c r="S27" s="58"/>
      <c r="T27" s="58"/>
      <c r="U27" s="58"/>
      <c r="V27" s="58"/>
      <c r="W27" s="128">
        <f t="shared" si="0"/>
        <v>0</v>
      </c>
      <c r="X27" s="364"/>
      <c r="Z27" s="69" t="s">
        <v>304</v>
      </c>
      <c r="AA27" s="88" t="s">
        <v>312</v>
      </c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>
        <f t="shared" si="2"/>
        <v>0</v>
      </c>
    </row>
    <row r="28" spans="1:38" ht="27.6" x14ac:dyDescent="0.3">
      <c r="A28" s="61" t="s">
        <v>313</v>
      </c>
      <c r="B28" s="84" t="s">
        <v>314</v>
      </c>
      <c r="C28" s="73" t="s">
        <v>315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>
        <f>SUM(D28:M28)</f>
        <v>0</v>
      </c>
      <c r="O28" s="58"/>
      <c r="P28" s="58"/>
      <c r="Q28" s="58"/>
      <c r="R28" s="58"/>
      <c r="S28" s="58"/>
      <c r="T28" s="58"/>
      <c r="U28" s="58"/>
      <c r="V28" s="58"/>
      <c r="W28" s="128">
        <f t="shared" si="0"/>
        <v>0</v>
      </c>
      <c r="X28" s="364"/>
      <c r="Z28" s="69" t="s">
        <v>309</v>
      </c>
      <c r="AA28" s="90" t="s">
        <v>316</v>
      </c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>
        <f t="shared" si="2"/>
        <v>0</v>
      </c>
    </row>
    <row r="29" spans="1:38" ht="41.4" x14ac:dyDescent="0.3">
      <c r="A29" s="61" t="s">
        <v>317</v>
      </c>
      <c r="B29" s="62" t="s">
        <v>318</v>
      </c>
      <c r="C29" s="63" t="s">
        <v>319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>
        <f t="shared" si="3"/>
        <v>0</v>
      </c>
      <c r="O29" s="58"/>
      <c r="P29" s="58"/>
      <c r="Q29" s="58"/>
      <c r="R29" s="58"/>
      <c r="S29" s="58"/>
      <c r="T29" s="58"/>
      <c r="U29" s="58"/>
      <c r="V29" s="58"/>
      <c r="W29" s="128">
        <f t="shared" si="0"/>
        <v>0</v>
      </c>
      <c r="X29" s="364"/>
      <c r="Z29" s="69" t="s">
        <v>313</v>
      </c>
      <c r="AA29" s="91" t="s">
        <v>320</v>
      </c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>
        <f>SUM(AB29:AK29)</f>
        <v>0</v>
      </c>
    </row>
    <row r="30" spans="1:38" ht="41.4" x14ac:dyDescent="0.3">
      <c r="A30" s="61" t="s">
        <v>321</v>
      </c>
      <c r="B30" s="92" t="s">
        <v>322</v>
      </c>
      <c r="C30" s="93" t="s">
        <v>323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75">
        <f>SUM(D30:M30)</f>
        <v>0</v>
      </c>
      <c r="O30" s="58"/>
      <c r="P30" s="58"/>
      <c r="Q30" s="58"/>
      <c r="R30" s="58"/>
      <c r="S30" s="58"/>
      <c r="T30" s="58"/>
      <c r="U30" s="58"/>
      <c r="V30" s="58"/>
      <c r="W30" s="128">
        <f t="shared" si="0"/>
        <v>0</v>
      </c>
      <c r="X30" s="364"/>
      <c r="Z30" s="69" t="s">
        <v>317</v>
      </c>
      <c r="AA30" s="88" t="s">
        <v>324</v>
      </c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>
        <f t="shared" si="2"/>
        <v>0</v>
      </c>
    </row>
    <row r="31" spans="1:38" ht="27.6" x14ac:dyDescent="0.3">
      <c r="A31" s="95" t="s">
        <v>325</v>
      </c>
      <c r="B31" s="96" t="s">
        <v>326</v>
      </c>
      <c r="C31" s="81" t="s">
        <v>327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65">
        <f t="shared" si="3"/>
        <v>0</v>
      </c>
      <c r="O31" s="54"/>
      <c r="P31" s="54"/>
      <c r="Q31" s="54"/>
      <c r="R31" s="54"/>
      <c r="S31" s="54"/>
      <c r="T31" s="54"/>
      <c r="U31" s="54"/>
      <c r="V31" s="54"/>
      <c r="W31" s="127">
        <f t="shared" si="0"/>
        <v>0</v>
      </c>
      <c r="X31" s="365">
        <f>ROUND(+W31/1000,0)-ROUND('Tab 29'!D11,0)</f>
        <v>22</v>
      </c>
      <c r="Z31" s="69" t="s">
        <v>321</v>
      </c>
      <c r="AA31" s="99" t="s">
        <v>328</v>
      </c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>
        <f t="shared" si="2"/>
        <v>0</v>
      </c>
    </row>
    <row r="32" spans="1:38" ht="55.2" x14ac:dyDescent="0.3">
      <c r="A32" s="61" t="s">
        <v>329</v>
      </c>
      <c r="B32" s="66" t="s">
        <v>330</v>
      </c>
      <c r="C32" s="67" t="s">
        <v>331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5">
        <f t="shared" si="3"/>
        <v>0</v>
      </c>
      <c r="O32" s="100"/>
      <c r="P32" s="100"/>
      <c r="Q32" s="100"/>
      <c r="R32" s="100"/>
      <c r="S32" s="100"/>
      <c r="T32" s="100"/>
      <c r="U32" s="100"/>
      <c r="V32" s="100"/>
      <c r="W32" s="129">
        <f t="shared" si="0"/>
        <v>0</v>
      </c>
      <c r="X32" s="365"/>
      <c r="Z32" s="69" t="s">
        <v>325</v>
      </c>
      <c r="AA32" s="99" t="s">
        <v>332</v>
      </c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>
        <f t="shared" si="2"/>
        <v>0</v>
      </c>
    </row>
    <row r="33" spans="1:38" ht="69" x14ac:dyDescent="0.3">
      <c r="A33" s="61" t="s">
        <v>333</v>
      </c>
      <c r="B33" s="66" t="s">
        <v>334</v>
      </c>
      <c r="C33" s="67" t="s">
        <v>335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5">
        <f t="shared" si="3"/>
        <v>0</v>
      </c>
      <c r="O33" s="101"/>
      <c r="P33" s="101"/>
      <c r="Q33" s="101"/>
      <c r="R33" s="101"/>
      <c r="S33" s="101"/>
      <c r="T33" s="101"/>
      <c r="U33" s="101"/>
      <c r="V33" s="101"/>
      <c r="W33" s="130">
        <f t="shared" si="0"/>
        <v>0</v>
      </c>
      <c r="X33" s="365">
        <f>ROUND(+W33/1000,0)-ROUND('Tab 29'!D12,0)</f>
        <v>-12661</v>
      </c>
      <c r="Z33" s="69" t="s">
        <v>329</v>
      </c>
      <c r="AA33" s="99" t="s">
        <v>337</v>
      </c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>
        <f t="shared" si="2"/>
        <v>0</v>
      </c>
    </row>
    <row r="34" spans="1:38" ht="27.6" x14ac:dyDescent="0.3">
      <c r="A34" s="61" t="s">
        <v>336</v>
      </c>
      <c r="B34" s="66" t="s">
        <v>338</v>
      </c>
      <c r="C34" s="67" t="s">
        <v>339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5">
        <f t="shared" si="3"/>
        <v>0</v>
      </c>
      <c r="O34" s="100"/>
      <c r="P34" s="100"/>
      <c r="Q34" s="100"/>
      <c r="R34" s="100"/>
      <c r="S34" s="100"/>
      <c r="T34" s="100"/>
      <c r="U34" s="100"/>
      <c r="V34" s="100"/>
      <c r="W34" s="129">
        <f t="shared" si="0"/>
        <v>0</v>
      </c>
      <c r="X34" s="365"/>
      <c r="Z34" s="69" t="s">
        <v>336</v>
      </c>
      <c r="AA34" s="99" t="s">
        <v>341</v>
      </c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>
        <f t="shared" si="2"/>
        <v>0</v>
      </c>
    </row>
    <row r="35" spans="1:38" x14ac:dyDescent="0.3">
      <c r="A35" s="61" t="s">
        <v>340</v>
      </c>
      <c r="B35" s="62" t="s">
        <v>137</v>
      </c>
      <c r="C35" s="63" t="s">
        <v>342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>
        <f t="shared" si="3"/>
        <v>0</v>
      </c>
      <c r="O35" s="58"/>
      <c r="P35" s="58"/>
      <c r="Q35" s="58"/>
      <c r="R35" s="58"/>
      <c r="S35" s="58"/>
      <c r="T35" s="58"/>
      <c r="U35" s="58"/>
      <c r="V35" s="58"/>
      <c r="W35" s="128">
        <f t="shared" si="0"/>
        <v>0</v>
      </c>
      <c r="X35" s="365"/>
      <c r="Z35" s="69" t="s">
        <v>340</v>
      </c>
      <c r="AA35" s="99" t="s">
        <v>343</v>
      </c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>
        <f t="shared" si="2"/>
        <v>0</v>
      </c>
    </row>
    <row r="36" spans="1:38" ht="27.6" x14ac:dyDescent="0.3">
      <c r="A36" s="61" t="s">
        <v>344</v>
      </c>
      <c r="B36" s="66" t="s">
        <v>345</v>
      </c>
      <c r="C36" s="67" t="s">
        <v>346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5">
        <f t="shared" si="3"/>
        <v>0</v>
      </c>
      <c r="O36" s="54"/>
      <c r="P36" s="54"/>
      <c r="Q36" s="54"/>
      <c r="R36" s="54"/>
      <c r="S36" s="54"/>
      <c r="T36" s="54"/>
      <c r="U36" s="54"/>
      <c r="V36" s="54"/>
      <c r="W36" s="127">
        <f t="shared" si="0"/>
        <v>0</v>
      </c>
      <c r="X36" s="365">
        <f>ROUND(+W36/1000,0)-ROUND('Tab 29'!D13,)</f>
        <v>-1434</v>
      </c>
      <c r="Z36" s="69" t="s">
        <v>344</v>
      </c>
      <c r="AA36" s="88" t="s">
        <v>347</v>
      </c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>
        <f t="shared" si="2"/>
        <v>0</v>
      </c>
    </row>
    <row r="37" spans="1:38" ht="27.6" x14ac:dyDescent="0.3">
      <c r="A37" s="61" t="s">
        <v>348</v>
      </c>
      <c r="B37" s="66" t="s">
        <v>349</v>
      </c>
      <c r="C37" s="67" t="s">
        <v>350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5">
        <f t="shared" si="3"/>
        <v>0</v>
      </c>
      <c r="O37" s="100"/>
      <c r="P37" s="100"/>
      <c r="Q37" s="100"/>
      <c r="R37" s="100"/>
      <c r="S37" s="100"/>
      <c r="T37" s="100"/>
      <c r="U37" s="100"/>
      <c r="V37" s="100"/>
      <c r="W37" s="129">
        <f t="shared" si="0"/>
        <v>0</v>
      </c>
      <c r="X37" s="364"/>
      <c r="Z37" s="69" t="s">
        <v>348</v>
      </c>
      <c r="AA37" s="99" t="s">
        <v>351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>
        <f t="shared" si="2"/>
        <v>0</v>
      </c>
    </row>
    <row r="38" spans="1:38" ht="27.6" x14ac:dyDescent="0.3">
      <c r="A38" s="61" t="s">
        <v>352</v>
      </c>
      <c r="B38" s="66" t="s">
        <v>353</v>
      </c>
      <c r="C38" s="67" t="s">
        <v>354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5">
        <f t="shared" si="3"/>
        <v>0</v>
      </c>
      <c r="O38" s="58"/>
      <c r="P38" s="58"/>
      <c r="Q38" s="58"/>
      <c r="R38" s="58"/>
      <c r="S38" s="58"/>
      <c r="T38" s="58"/>
      <c r="U38" s="58"/>
      <c r="V38" s="58"/>
      <c r="W38" s="128">
        <f t="shared" si="0"/>
        <v>0</v>
      </c>
      <c r="X38" s="364"/>
      <c r="Z38" s="69" t="s">
        <v>352</v>
      </c>
      <c r="AA38" s="99" t="s">
        <v>332</v>
      </c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>
        <f t="shared" si="2"/>
        <v>0</v>
      </c>
    </row>
    <row r="39" spans="1:38" ht="27.6" x14ac:dyDescent="0.3">
      <c r="A39" s="61" t="s">
        <v>355</v>
      </c>
      <c r="B39" s="62" t="s">
        <v>356</v>
      </c>
      <c r="C39" s="63" t="s">
        <v>64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5">
        <f t="shared" si="3"/>
        <v>0</v>
      </c>
      <c r="O39" s="102"/>
      <c r="P39" s="102"/>
      <c r="Q39" s="102"/>
      <c r="R39" s="102"/>
      <c r="S39" s="102"/>
      <c r="T39" s="102"/>
      <c r="U39" s="102"/>
      <c r="V39" s="102"/>
      <c r="W39" s="131">
        <f>IFERROR(W36/W33,0)</f>
        <v>0</v>
      </c>
      <c r="X39" s="365">
        <f>+W39-'Tab 29'!D14</f>
        <v>-0.11329210169368906</v>
      </c>
      <c r="Z39" s="69" t="s">
        <v>355</v>
      </c>
      <c r="AA39" s="99" t="s">
        <v>337</v>
      </c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>
        <f t="shared" si="2"/>
        <v>0</v>
      </c>
    </row>
    <row r="40" spans="1:38" ht="55.2" x14ac:dyDescent="0.3">
      <c r="A40" s="61" t="s">
        <v>357</v>
      </c>
      <c r="B40" s="66" t="s">
        <v>358</v>
      </c>
      <c r="C40" s="67" t="s">
        <v>359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5">
        <f t="shared" si="3"/>
        <v>0</v>
      </c>
      <c r="O40" s="103"/>
      <c r="P40" s="103"/>
      <c r="Q40" s="103"/>
      <c r="R40" s="103"/>
      <c r="S40" s="103"/>
      <c r="T40" s="103"/>
      <c r="U40" s="103"/>
      <c r="V40" s="103"/>
      <c r="W40" s="132"/>
      <c r="X40" s="364"/>
      <c r="Z40" s="69" t="s">
        <v>357</v>
      </c>
      <c r="AA40" s="99" t="s">
        <v>341</v>
      </c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>
        <f t="shared" si="2"/>
        <v>0</v>
      </c>
    </row>
    <row r="41" spans="1:38" ht="41.4" x14ac:dyDescent="0.3">
      <c r="A41" s="61" t="s">
        <v>360</v>
      </c>
      <c r="B41" s="66" t="s">
        <v>361</v>
      </c>
      <c r="C41" s="67" t="s">
        <v>362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5">
        <f t="shared" si="3"/>
        <v>0</v>
      </c>
      <c r="O41" s="104"/>
      <c r="P41" s="104"/>
      <c r="Q41" s="104"/>
      <c r="R41" s="104"/>
      <c r="S41" s="104"/>
      <c r="T41" s="104"/>
      <c r="U41" s="104"/>
      <c r="V41" s="104"/>
      <c r="W41" s="105"/>
      <c r="X41" s="364"/>
      <c r="Z41" s="69" t="s">
        <v>360</v>
      </c>
      <c r="AA41" s="99" t="s">
        <v>343</v>
      </c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>
        <f t="shared" si="2"/>
        <v>0</v>
      </c>
    </row>
    <row r="42" spans="1:38" ht="82.8" x14ac:dyDescent="0.3">
      <c r="A42" s="61" t="s">
        <v>363</v>
      </c>
      <c r="B42" s="62" t="s">
        <v>364</v>
      </c>
      <c r="C42" s="63" t="s">
        <v>365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65">
        <f t="shared" si="3"/>
        <v>0</v>
      </c>
      <c r="O42" s="104"/>
      <c r="P42" s="104"/>
      <c r="Q42" s="104"/>
      <c r="R42" s="104"/>
      <c r="S42" s="104"/>
      <c r="T42" s="104"/>
      <c r="U42" s="104"/>
      <c r="V42" s="104"/>
      <c r="W42" s="105"/>
      <c r="X42" s="364"/>
      <c r="Z42" s="69" t="s">
        <v>363</v>
      </c>
      <c r="AA42" s="99" t="s">
        <v>366</v>
      </c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>
        <f t="shared" si="2"/>
        <v>0</v>
      </c>
    </row>
    <row r="43" spans="1:38" ht="55.2" x14ac:dyDescent="0.3">
      <c r="A43" s="61" t="s">
        <v>367</v>
      </c>
      <c r="B43" s="106" t="s">
        <v>368</v>
      </c>
      <c r="C43" s="107" t="s">
        <v>369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25">
        <f>SUM(D43:M43)</f>
        <v>0</v>
      </c>
      <c r="O43" s="104"/>
      <c r="P43" s="104"/>
      <c r="Q43" s="104"/>
      <c r="R43" s="104"/>
      <c r="S43" s="104"/>
      <c r="T43" s="104"/>
      <c r="U43" s="104"/>
      <c r="V43" s="104"/>
      <c r="W43" s="105"/>
      <c r="X43" s="364"/>
      <c r="Z43" s="69" t="s">
        <v>367</v>
      </c>
      <c r="AA43" s="99" t="s">
        <v>370</v>
      </c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>
        <f t="shared" si="2"/>
        <v>0</v>
      </c>
    </row>
    <row r="44" spans="1:38" ht="41.4" x14ac:dyDescent="0.3">
      <c r="A44" s="61" t="s">
        <v>371</v>
      </c>
      <c r="B44" s="106" t="s">
        <v>372</v>
      </c>
      <c r="C44" s="107" t="s">
        <v>373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25">
        <f>SUM(D44:M44)</f>
        <v>0</v>
      </c>
      <c r="O44" s="104"/>
      <c r="P44" s="104"/>
      <c r="Q44" s="104"/>
      <c r="R44" s="104"/>
      <c r="S44" s="104"/>
      <c r="T44" s="104"/>
      <c r="U44" s="104"/>
      <c r="V44" s="104"/>
      <c r="W44" s="105"/>
      <c r="X44" s="364"/>
      <c r="Z44" s="69" t="s">
        <v>371</v>
      </c>
      <c r="AA44" s="99" t="s">
        <v>374</v>
      </c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>
        <f>SUM(AB44:AK44)</f>
        <v>0</v>
      </c>
    </row>
    <row r="45" spans="1:38" ht="41.4" x14ac:dyDescent="0.3">
      <c r="A45" s="61" t="s">
        <v>375</v>
      </c>
      <c r="B45" s="92" t="s">
        <v>376</v>
      </c>
      <c r="C45" s="93" t="s">
        <v>377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25">
        <f>SUM(D45:M45)</f>
        <v>0</v>
      </c>
      <c r="O45" s="104"/>
      <c r="P45" s="104"/>
      <c r="Q45" s="104"/>
      <c r="R45" s="104"/>
      <c r="S45" s="104"/>
      <c r="T45" s="104"/>
      <c r="U45" s="104"/>
      <c r="V45" s="104"/>
      <c r="W45" s="105"/>
      <c r="X45" s="364"/>
      <c r="Z45" s="69" t="s">
        <v>375</v>
      </c>
      <c r="AA45" s="99" t="s">
        <v>378</v>
      </c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>
        <f t="shared" si="2"/>
        <v>0</v>
      </c>
    </row>
    <row r="46" spans="1:38" ht="55.2" x14ac:dyDescent="0.3">
      <c r="A46" s="61" t="s">
        <v>379</v>
      </c>
      <c r="B46" s="92" t="s">
        <v>380</v>
      </c>
      <c r="C46" s="93" t="s">
        <v>381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25">
        <f>SUM(D46:M46)</f>
        <v>0</v>
      </c>
      <c r="O46" s="104"/>
      <c r="P46" s="104"/>
      <c r="Q46" s="104"/>
      <c r="R46" s="104"/>
      <c r="S46" s="104"/>
      <c r="T46" s="104"/>
      <c r="U46" s="104"/>
      <c r="V46" s="104"/>
      <c r="W46" s="105"/>
      <c r="X46" s="364"/>
      <c r="Z46" s="69" t="s">
        <v>379</v>
      </c>
      <c r="AA46" s="99" t="s">
        <v>382</v>
      </c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>
        <f t="shared" si="2"/>
        <v>0</v>
      </c>
    </row>
    <row r="47" spans="1:38" ht="55.2" x14ac:dyDescent="0.3">
      <c r="A47" s="61" t="s">
        <v>383</v>
      </c>
      <c r="B47" s="92" t="s">
        <v>384</v>
      </c>
      <c r="C47" s="93" t="s">
        <v>385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25">
        <f>SUM(D47:M47)</f>
        <v>0</v>
      </c>
      <c r="O47" s="104"/>
      <c r="P47" s="104"/>
      <c r="Q47" s="104"/>
      <c r="R47" s="104"/>
      <c r="S47" s="104"/>
      <c r="T47" s="104"/>
      <c r="U47" s="104"/>
      <c r="V47" s="104"/>
      <c r="W47" s="105"/>
      <c r="X47" s="364"/>
      <c r="Z47" s="69" t="s">
        <v>383</v>
      </c>
      <c r="AA47" s="88" t="s">
        <v>386</v>
      </c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>
        <f t="shared" si="2"/>
        <v>0</v>
      </c>
    </row>
    <row r="48" spans="1:38" ht="41.4" x14ac:dyDescent="0.3">
      <c r="A48" s="61" t="s">
        <v>387</v>
      </c>
      <c r="B48" s="62" t="s">
        <v>388</v>
      </c>
      <c r="C48" s="63" t="s">
        <v>389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65">
        <f t="shared" ref="N48:N50" si="4">SUM(D48:M48)</f>
        <v>0</v>
      </c>
      <c r="O48" s="104"/>
      <c r="P48" s="104"/>
      <c r="Q48" s="104"/>
      <c r="R48" s="104"/>
      <c r="S48" s="104"/>
      <c r="T48" s="104"/>
      <c r="U48" s="104"/>
      <c r="V48" s="104"/>
      <c r="W48" s="105"/>
      <c r="X48" s="364"/>
      <c r="Z48" s="69" t="s">
        <v>387</v>
      </c>
      <c r="AA48" s="88" t="s">
        <v>390</v>
      </c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>
        <f t="shared" si="2"/>
        <v>0</v>
      </c>
    </row>
    <row r="49" spans="1:39" ht="55.2" x14ac:dyDescent="0.3">
      <c r="A49" s="61" t="s">
        <v>391</v>
      </c>
      <c r="B49" s="62" t="s">
        <v>392</v>
      </c>
      <c r="C49" s="63" t="s">
        <v>393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5">
        <f t="shared" si="4"/>
        <v>0</v>
      </c>
      <c r="O49" s="104"/>
      <c r="P49" s="104"/>
      <c r="Q49" s="104"/>
      <c r="R49" s="104"/>
      <c r="S49" s="104"/>
      <c r="T49" s="104"/>
      <c r="U49" s="104"/>
      <c r="V49" s="104"/>
      <c r="W49" s="105"/>
      <c r="X49" s="364"/>
      <c r="Z49" s="69" t="s">
        <v>391</v>
      </c>
      <c r="AA49" s="90" t="s">
        <v>316</v>
      </c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>
        <f t="shared" si="2"/>
        <v>0</v>
      </c>
    </row>
    <row r="50" spans="1:39" ht="82.8" x14ac:dyDescent="0.3">
      <c r="A50" s="61" t="s">
        <v>394</v>
      </c>
      <c r="B50" s="62" t="s">
        <v>395</v>
      </c>
      <c r="C50" s="63" t="s">
        <v>396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65">
        <f t="shared" si="4"/>
        <v>0</v>
      </c>
      <c r="O50" s="104"/>
      <c r="P50" s="104"/>
      <c r="Q50" s="104"/>
      <c r="R50" s="104"/>
      <c r="S50" s="104"/>
      <c r="T50" s="104"/>
      <c r="U50" s="104"/>
      <c r="V50" s="104"/>
      <c r="W50" s="105"/>
      <c r="X50" s="364"/>
      <c r="Z50" s="69" t="s">
        <v>394</v>
      </c>
      <c r="AA50" s="88" t="s">
        <v>397</v>
      </c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>
        <f t="shared" si="2"/>
        <v>0</v>
      </c>
    </row>
    <row r="51" spans="1:39" ht="55.2" x14ac:dyDescent="0.3">
      <c r="A51" s="61" t="s">
        <v>398</v>
      </c>
      <c r="B51" s="106" t="s">
        <v>399</v>
      </c>
      <c r="C51" s="107" t="s">
        <v>400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25">
        <f>SUM(D51:M51)</f>
        <v>0</v>
      </c>
      <c r="O51" s="104"/>
      <c r="P51" s="104"/>
      <c r="Q51" s="104"/>
      <c r="R51" s="104"/>
      <c r="S51" s="104"/>
      <c r="T51" s="104"/>
      <c r="U51" s="104"/>
      <c r="V51" s="104"/>
      <c r="W51" s="105"/>
      <c r="X51" s="364"/>
      <c r="Z51" s="69" t="s">
        <v>398</v>
      </c>
      <c r="AA51" s="109" t="s">
        <v>401</v>
      </c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>
        <f t="shared" si="2"/>
        <v>0</v>
      </c>
    </row>
    <row r="52" spans="1:39" ht="55.2" x14ac:dyDescent="0.3">
      <c r="A52" s="61" t="s">
        <v>402</v>
      </c>
      <c r="B52" s="62" t="s">
        <v>403</v>
      </c>
      <c r="C52" s="63" t="s">
        <v>404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65">
        <f t="shared" ref="N52" si="5">SUM(D52:M52)</f>
        <v>0</v>
      </c>
      <c r="O52" s="104"/>
      <c r="P52" s="104"/>
      <c r="Q52" s="104"/>
      <c r="R52" s="104"/>
      <c r="S52" s="104"/>
      <c r="T52" s="104"/>
      <c r="U52" s="104"/>
      <c r="V52" s="104"/>
      <c r="W52" s="105"/>
      <c r="X52" s="364"/>
      <c r="Z52" s="55" t="s">
        <v>405</v>
      </c>
      <c r="AA52" s="110" t="s">
        <v>406</v>
      </c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>
        <f>SUM(AB52:AK52)</f>
        <v>0</v>
      </c>
    </row>
    <row r="53" spans="1:39" ht="82.8" x14ac:dyDescent="0.3">
      <c r="A53" s="61" t="s">
        <v>407</v>
      </c>
      <c r="B53" s="106" t="s">
        <v>408</v>
      </c>
      <c r="C53" s="107" t="s">
        <v>409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25">
        <f>SUM(D53:M53)</f>
        <v>0</v>
      </c>
      <c r="O53" s="104"/>
      <c r="P53" s="104"/>
      <c r="Q53" s="104"/>
      <c r="R53" s="104"/>
      <c r="S53" s="104"/>
      <c r="T53" s="104"/>
      <c r="U53" s="104"/>
      <c r="V53" s="104"/>
      <c r="W53" s="105"/>
      <c r="X53" s="364"/>
      <c r="Z53" s="69" t="s">
        <v>410</v>
      </c>
      <c r="AA53" s="111" t="s">
        <v>411</v>
      </c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>
        <f t="shared" si="2"/>
        <v>0</v>
      </c>
    </row>
    <row r="54" spans="1:39" ht="82.8" x14ac:dyDescent="0.3">
      <c r="A54" s="61" t="s">
        <v>412</v>
      </c>
      <c r="B54" s="106" t="s">
        <v>413</v>
      </c>
      <c r="C54" s="107" t="s">
        <v>414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25">
        <f>SUM(D54:M54)</f>
        <v>0</v>
      </c>
      <c r="O54" s="104"/>
      <c r="P54" s="104"/>
      <c r="Q54" s="104"/>
      <c r="R54" s="104"/>
      <c r="S54" s="104"/>
      <c r="T54" s="104"/>
      <c r="U54" s="104"/>
      <c r="V54" s="104"/>
      <c r="W54" s="105"/>
      <c r="X54" s="364"/>
      <c r="Z54" s="69" t="s">
        <v>415</v>
      </c>
      <c r="AA54" s="111" t="s">
        <v>416</v>
      </c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>
        <f t="shared" si="2"/>
        <v>0</v>
      </c>
    </row>
    <row r="55" spans="1:39" ht="55.2" x14ac:dyDescent="0.3">
      <c r="A55" s="61" t="s">
        <v>417</v>
      </c>
      <c r="B55" s="62" t="s">
        <v>418</v>
      </c>
      <c r="C55" s="63" t="s">
        <v>419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65">
        <f t="shared" ref="N55:N57" si="6">SUM(D55:M55)</f>
        <v>0</v>
      </c>
      <c r="O55" s="104"/>
      <c r="P55" s="104"/>
      <c r="Q55" s="104"/>
      <c r="R55" s="104"/>
      <c r="S55" s="104"/>
      <c r="T55" s="104"/>
      <c r="U55" s="104"/>
      <c r="V55" s="104"/>
      <c r="W55" s="105"/>
      <c r="X55" s="364"/>
      <c r="Z55" s="55" t="s">
        <v>420</v>
      </c>
      <c r="AA55" s="110" t="s">
        <v>421</v>
      </c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>
        <f t="shared" si="2"/>
        <v>0</v>
      </c>
    </row>
    <row r="56" spans="1:39" ht="69" x14ac:dyDescent="0.3">
      <c r="A56" s="61" t="s">
        <v>405</v>
      </c>
      <c r="B56" s="62" t="s">
        <v>422</v>
      </c>
      <c r="C56" s="63" t="s">
        <v>423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65">
        <f t="shared" si="6"/>
        <v>0</v>
      </c>
      <c r="O56" s="104"/>
      <c r="P56" s="104"/>
      <c r="Q56" s="104"/>
      <c r="R56" s="104"/>
      <c r="S56" s="104"/>
      <c r="T56" s="104"/>
      <c r="U56" s="104"/>
      <c r="V56" s="104"/>
      <c r="W56" s="105"/>
      <c r="X56" s="364"/>
      <c r="Z56" s="69" t="s">
        <v>424</v>
      </c>
      <c r="AA56" s="111" t="s">
        <v>425</v>
      </c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>
        <f t="shared" si="2"/>
        <v>0</v>
      </c>
      <c r="AM56" s="362">
        <f>ROUND(+AL56/1000,0)-ROUND('Tab 27'!D7,0)</f>
        <v>-13</v>
      </c>
    </row>
    <row r="57" spans="1:39" ht="55.2" x14ac:dyDescent="0.3">
      <c r="A57" s="61" t="s">
        <v>410</v>
      </c>
      <c r="B57" s="62" t="s">
        <v>426</v>
      </c>
      <c r="C57" s="63" t="s">
        <v>427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65">
        <f t="shared" si="6"/>
        <v>0</v>
      </c>
      <c r="O57" s="104"/>
      <c r="P57" s="104"/>
      <c r="Q57" s="104"/>
      <c r="R57" s="104"/>
      <c r="S57" s="104"/>
      <c r="T57" s="104"/>
      <c r="U57" s="104"/>
      <c r="V57" s="104"/>
      <c r="W57" s="105"/>
      <c r="X57" s="364"/>
      <c r="Z57" s="69" t="s">
        <v>428</v>
      </c>
      <c r="AA57" s="112" t="s">
        <v>429</v>
      </c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>
        <f t="shared" si="2"/>
        <v>0</v>
      </c>
    </row>
    <row r="58" spans="1:39" ht="27.6" x14ac:dyDescent="0.3">
      <c r="A58" s="61" t="s">
        <v>415</v>
      </c>
      <c r="B58" s="113" t="s">
        <v>430</v>
      </c>
      <c r="C58" s="114" t="s">
        <v>431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26">
        <f>SUM(D58:M58)</f>
        <v>0</v>
      </c>
      <c r="O58" s="104"/>
      <c r="P58" s="104"/>
      <c r="Q58" s="104"/>
      <c r="R58" s="104"/>
      <c r="S58" s="104"/>
      <c r="T58" s="104"/>
      <c r="U58" s="104"/>
      <c r="V58" s="104"/>
      <c r="W58" s="105"/>
      <c r="X58" s="364"/>
      <c r="Z58" s="69" t="s">
        <v>432</v>
      </c>
      <c r="AA58" s="112" t="s">
        <v>433</v>
      </c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>
        <f>SUM(AB58:AK58)</f>
        <v>0</v>
      </c>
    </row>
    <row r="59" spans="1:39" ht="27.6" x14ac:dyDescent="0.3">
      <c r="A59" s="61" t="s">
        <v>420</v>
      </c>
      <c r="B59" s="113" t="s">
        <v>434</v>
      </c>
      <c r="C59" s="114" t="s">
        <v>435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26">
        <f>SUM(D59:M59)</f>
        <v>0</v>
      </c>
      <c r="O59" s="104"/>
      <c r="P59" s="104"/>
      <c r="Q59" s="104"/>
      <c r="R59" s="104"/>
      <c r="S59" s="104"/>
      <c r="T59" s="104"/>
      <c r="U59" s="104"/>
      <c r="V59" s="104"/>
      <c r="W59" s="105"/>
      <c r="X59" s="364"/>
      <c r="Z59" s="69" t="s">
        <v>436</v>
      </c>
      <c r="AA59" s="112" t="s">
        <v>437</v>
      </c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>
        <f t="shared" si="2"/>
        <v>0</v>
      </c>
    </row>
    <row r="60" spans="1:39" ht="41.4" x14ac:dyDescent="0.3">
      <c r="A60" s="61" t="s">
        <v>438</v>
      </c>
      <c r="B60" s="62" t="s">
        <v>439</v>
      </c>
      <c r="C60" s="67" t="s">
        <v>440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5">
        <f t="shared" ref="N60:N61" si="7">SUM(D60:M60)</f>
        <v>0</v>
      </c>
      <c r="O60" s="104"/>
      <c r="P60" s="104"/>
      <c r="Q60" s="104"/>
      <c r="R60" s="104"/>
      <c r="S60" s="104"/>
      <c r="T60" s="104"/>
      <c r="U60" s="104"/>
      <c r="V60" s="104"/>
      <c r="W60" s="105"/>
      <c r="X60" s="364"/>
      <c r="Z60" s="69" t="s">
        <v>441</v>
      </c>
      <c r="AA60" s="112" t="s">
        <v>442</v>
      </c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>
        <f t="shared" si="2"/>
        <v>0</v>
      </c>
    </row>
    <row r="61" spans="1:39" ht="41.4" x14ac:dyDescent="0.3">
      <c r="A61" s="61" t="s">
        <v>443</v>
      </c>
      <c r="B61" s="62" t="s">
        <v>444</v>
      </c>
      <c r="C61" s="67" t="s">
        <v>445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5">
        <f t="shared" si="7"/>
        <v>0</v>
      </c>
      <c r="O61" s="104"/>
      <c r="P61" s="104"/>
      <c r="Q61" s="104"/>
      <c r="R61" s="104"/>
      <c r="S61" s="104"/>
      <c r="T61" s="104"/>
      <c r="U61" s="104"/>
      <c r="V61" s="104"/>
      <c r="W61" s="105"/>
      <c r="X61" s="364"/>
      <c r="Z61" s="69" t="s">
        <v>446</v>
      </c>
      <c r="AA61" s="112" t="s">
        <v>447</v>
      </c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>
        <f t="shared" si="2"/>
        <v>0</v>
      </c>
    </row>
    <row r="62" spans="1:39" x14ac:dyDescent="0.3">
      <c r="A62" s="49" t="s">
        <v>424</v>
      </c>
      <c r="B62" s="50" t="s">
        <v>448</v>
      </c>
      <c r="C62" s="51" t="s">
        <v>449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3">
        <f>SUM(D62:M62)</f>
        <v>0</v>
      </c>
      <c r="O62" s="104"/>
      <c r="P62" s="104"/>
      <c r="Q62" s="104"/>
      <c r="R62" s="104"/>
      <c r="S62" s="104"/>
      <c r="T62" s="104"/>
      <c r="U62" s="104"/>
      <c r="V62" s="104"/>
      <c r="W62" s="105"/>
      <c r="X62" s="364"/>
      <c r="Z62" s="69" t="s">
        <v>450</v>
      </c>
      <c r="AA62" s="112" t="s">
        <v>451</v>
      </c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>
        <f t="shared" si="2"/>
        <v>0</v>
      </c>
    </row>
    <row r="63" spans="1:39" ht="41.4" x14ac:dyDescent="0.3">
      <c r="A63" s="61" t="s">
        <v>428</v>
      </c>
      <c r="B63" s="62" t="s">
        <v>452</v>
      </c>
      <c r="C63" s="63" t="s">
        <v>453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5">
        <f t="shared" ref="N63:N71" si="8">SUM(D63:M63)</f>
        <v>0</v>
      </c>
      <c r="O63" s="104"/>
      <c r="P63" s="104"/>
      <c r="Q63" s="104"/>
      <c r="R63" s="104"/>
      <c r="S63" s="104"/>
      <c r="T63" s="104"/>
      <c r="U63" s="104"/>
      <c r="V63" s="104"/>
      <c r="W63" s="105"/>
      <c r="X63" s="364"/>
      <c r="Z63" s="69" t="s">
        <v>454</v>
      </c>
      <c r="AA63" s="112" t="s">
        <v>455</v>
      </c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>
        <f t="shared" si="2"/>
        <v>0</v>
      </c>
    </row>
    <row r="64" spans="1:39" ht="27.6" x14ac:dyDescent="0.3">
      <c r="A64" s="61" t="s">
        <v>432</v>
      </c>
      <c r="B64" s="66" t="s">
        <v>456</v>
      </c>
      <c r="C64" s="67" t="s">
        <v>457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5">
        <f t="shared" si="8"/>
        <v>0</v>
      </c>
      <c r="O64" s="104"/>
      <c r="P64" s="104"/>
      <c r="Q64" s="104"/>
      <c r="R64" s="104"/>
      <c r="S64" s="104"/>
      <c r="T64" s="104"/>
      <c r="U64" s="104"/>
      <c r="V64" s="104"/>
      <c r="W64" s="105"/>
      <c r="X64" s="364"/>
      <c r="Z64" s="69" t="s">
        <v>458</v>
      </c>
      <c r="AA64" s="109" t="s">
        <v>459</v>
      </c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>
        <f>SUM(AB64:AK64)</f>
        <v>0</v>
      </c>
    </row>
    <row r="65" spans="1:39" ht="27.6" x14ac:dyDescent="0.3">
      <c r="A65" s="61" t="s">
        <v>450</v>
      </c>
      <c r="B65" s="66" t="s">
        <v>460</v>
      </c>
      <c r="C65" s="67" t="s">
        <v>461</v>
      </c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5">
        <f t="shared" si="8"/>
        <v>0</v>
      </c>
      <c r="O65" s="104"/>
      <c r="P65" s="104"/>
      <c r="Q65" s="104"/>
      <c r="R65" s="104"/>
      <c r="S65" s="104"/>
      <c r="T65" s="104"/>
      <c r="U65" s="104"/>
      <c r="V65" s="104"/>
      <c r="W65" s="105"/>
      <c r="X65" s="364"/>
      <c r="Z65" s="55" t="s">
        <v>462</v>
      </c>
      <c r="AA65" s="110" t="s">
        <v>463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>
        <f t="shared" si="2"/>
        <v>0</v>
      </c>
    </row>
    <row r="66" spans="1:39" x14ac:dyDescent="0.3">
      <c r="A66" s="61" t="s">
        <v>454</v>
      </c>
      <c r="B66" s="66" t="s">
        <v>464</v>
      </c>
      <c r="C66" s="67" t="s">
        <v>465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5">
        <f t="shared" si="8"/>
        <v>0</v>
      </c>
      <c r="O66" s="104"/>
      <c r="P66" s="104"/>
      <c r="Q66" s="104"/>
      <c r="R66" s="104"/>
      <c r="S66" s="104"/>
      <c r="T66" s="104"/>
      <c r="U66" s="104"/>
      <c r="V66" s="104"/>
      <c r="W66" s="105"/>
      <c r="X66" s="364"/>
      <c r="Z66" s="69" t="s">
        <v>466</v>
      </c>
      <c r="AA66" s="111" t="s">
        <v>467</v>
      </c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>
        <f t="shared" si="2"/>
        <v>0</v>
      </c>
      <c r="AM66" s="362">
        <f>ROUND(+AL66/1000,0)-ROUND('Tab 27'!D8,0)</f>
        <v>-705</v>
      </c>
    </row>
    <row r="67" spans="1:39" ht="27.6" x14ac:dyDescent="0.3">
      <c r="A67" s="61" t="s">
        <v>458</v>
      </c>
      <c r="B67" s="66" t="s">
        <v>468</v>
      </c>
      <c r="C67" s="67" t="s">
        <v>469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65">
        <f t="shared" si="8"/>
        <v>0</v>
      </c>
      <c r="O67" s="104"/>
      <c r="P67" s="104"/>
      <c r="Q67" s="104"/>
      <c r="R67" s="104"/>
      <c r="S67" s="104"/>
      <c r="T67" s="104"/>
      <c r="U67" s="104"/>
      <c r="V67" s="104"/>
      <c r="W67" s="105"/>
      <c r="X67" s="364"/>
      <c r="Z67" s="69" t="s">
        <v>470</v>
      </c>
      <c r="AA67" s="111" t="s">
        <v>471</v>
      </c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f t="shared" si="2"/>
        <v>0</v>
      </c>
    </row>
    <row r="68" spans="1:39" ht="41.4" x14ac:dyDescent="0.3">
      <c r="A68" s="61" t="s">
        <v>462</v>
      </c>
      <c r="B68" s="66" t="s">
        <v>472</v>
      </c>
      <c r="C68" s="67" t="s">
        <v>473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5">
        <f t="shared" si="8"/>
        <v>0</v>
      </c>
      <c r="O68" s="104"/>
      <c r="P68" s="104"/>
      <c r="Q68" s="104"/>
      <c r="R68" s="104"/>
      <c r="S68" s="104"/>
      <c r="T68" s="104"/>
      <c r="U68" s="104"/>
      <c r="V68" s="104"/>
      <c r="W68" s="105"/>
      <c r="X68" s="364"/>
      <c r="Z68" s="69" t="s">
        <v>474</v>
      </c>
      <c r="AA68" s="109" t="s">
        <v>475</v>
      </c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>
        <f t="shared" si="2"/>
        <v>0</v>
      </c>
    </row>
    <row r="69" spans="1:39" ht="41.4" x14ac:dyDescent="0.3">
      <c r="A69" s="61" t="s">
        <v>474</v>
      </c>
      <c r="B69" s="66" t="s">
        <v>476</v>
      </c>
      <c r="C69" s="67" t="s">
        <v>477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5">
        <f t="shared" si="8"/>
        <v>0</v>
      </c>
      <c r="O69" s="104"/>
      <c r="P69" s="104"/>
      <c r="Q69" s="104"/>
      <c r="R69" s="104"/>
      <c r="S69" s="104"/>
      <c r="T69" s="104"/>
      <c r="U69" s="104"/>
      <c r="V69" s="104"/>
      <c r="W69" s="105"/>
      <c r="X69" s="364"/>
      <c r="Z69" s="69" t="s">
        <v>478</v>
      </c>
      <c r="AA69" s="91" t="s">
        <v>479</v>
      </c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>
        <f t="shared" si="2"/>
        <v>0</v>
      </c>
    </row>
    <row r="70" spans="1:39" ht="69" x14ac:dyDescent="0.3">
      <c r="A70" s="61" t="s">
        <v>480</v>
      </c>
      <c r="B70" s="66" t="s">
        <v>481</v>
      </c>
      <c r="C70" s="67" t="s">
        <v>482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5">
        <f t="shared" si="8"/>
        <v>0</v>
      </c>
      <c r="O70" s="104"/>
      <c r="P70" s="104"/>
      <c r="Q70" s="104"/>
      <c r="R70" s="104"/>
      <c r="S70" s="104"/>
      <c r="T70" s="104"/>
      <c r="U70" s="104"/>
      <c r="V70" s="104"/>
      <c r="W70" s="105"/>
      <c r="X70" s="364"/>
      <c r="Z70" s="69" t="s">
        <v>483</v>
      </c>
      <c r="AA70" s="91" t="s">
        <v>484</v>
      </c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>
        <f t="shared" ref="AL70:AL81" si="9">SUM(AB70:AK70)</f>
        <v>0</v>
      </c>
    </row>
    <row r="71" spans="1:39" ht="55.2" x14ac:dyDescent="0.3">
      <c r="A71" s="61" t="s">
        <v>485</v>
      </c>
      <c r="B71" s="66" t="s">
        <v>486</v>
      </c>
      <c r="C71" s="67" t="s">
        <v>487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5">
        <f t="shared" si="8"/>
        <v>0</v>
      </c>
      <c r="O71" s="104"/>
      <c r="P71" s="104"/>
      <c r="Q71" s="104"/>
      <c r="R71" s="104"/>
      <c r="S71" s="104"/>
      <c r="T71" s="104"/>
      <c r="U71" s="104"/>
      <c r="V71" s="104"/>
      <c r="W71" s="105"/>
      <c r="X71" s="364"/>
      <c r="Z71" s="69" t="s">
        <v>488</v>
      </c>
      <c r="AA71" s="109" t="s">
        <v>489</v>
      </c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>
        <f t="shared" si="9"/>
        <v>0</v>
      </c>
    </row>
    <row r="72" spans="1:39" ht="55.2" x14ac:dyDescent="0.3">
      <c r="A72" s="61" t="s">
        <v>490</v>
      </c>
      <c r="B72" s="113" t="s">
        <v>491</v>
      </c>
      <c r="C72" s="114" t="s">
        <v>492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26">
        <f>SUM(D72:M72)</f>
        <v>0</v>
      </c>
      <c r="O72" s="104"/>
      <c r="P72" s="104"/>
      <c r="Q72" s="104"/>
      <c r="R72" s="104"/>
      <c r="S72" s="104"/>
      <c r="T72" s="104"/>
      <c r="U72" s="104"/>
      <c r="V72" s="104"/>
      <c r="W72" s="105"/>
      <c r="X72" s="364"/>
      <c r="Z72" s="69" t="s">
        <v>490</v>
      </c>
      <c r="AA72" s="109" t="s">
        <v>493</v>
      </c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>
        <f t="shared" si="9"/>
        <v>0</v>
      </c>
    </row>
    <row r="73" spans="1:39" ht="55.2" x14ac:dyDescent="0.3">
      <c r="A73" s="61" t="s">
        <v>494</v>
      </c>
      <c r="B73" s="113" t="s">
        <v>495</v>
      </c>
      <c r="C73" s="114" t="s">
        <v>496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26">
        <f>SUM(D73:M73)</f>
        <v>0</v>
      </c>
      <c r="O73" s="104"/>
      <c r="P73" s="104"/>
      <c r="Q73" s="104"/>
      <c r="R73" s="104"/>
      <c r="S73" s="104"/>
      <c r="T73" s="104"/>
      <c r="U73" s="104"/>
      <c r="V73" s="104"/>
      <c r="W73" s="105"/>
      <c r="X73" s="364"/>
      <c r="Z73" s="69" t="s">
        <v>494</v>
      </c>
      <c r="AA73" s="109" t="s">
        <v>497</v>
      </c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>
        <f t="shared" si="9"/>
        <v>0</v>
      </c>
    </row>
    <row r="74" spans="1:39" ht="69" x14ac:dyDescent="0.3">
      <c r="A74" s="61" t="s">
        <v>498</v>
      </c>
      <c r="B74" s="113" t="s">
        <v>499</v>
      </c>
      <c r="C74" s="114" t="s">
        <v>500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26">
        <f>SUM(D74:M74)</f>
        <v>0</v>
      </c>
      <c r="O74" s="104"/>
      <c r="P74" s="104"/>
      <c r="Q74" s="104"/>
      <c r="R74" s="104"/>
      <c r="S74" s="104"/>
      <c r="T74" s="104"/>
      <c r="U74" s="104"/>
      <c r="V74" s="104"/>
      <c r="W74" s="105"/>
      <c r="X74" s="364"/>
      <c r="Z74" s="55" t="s">
        <v>498</v>
      </c>
      <c r="AA74" s="110" t="s">
        <v>501</v>
      </c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>
        <f t="shared" si="9"/>
        <v>0</v>
      </c>
    </row>
    <row r="75" spans="1:39" ht="41.4" x14ac:dyDescent="0.3">
      <c r="A75" s="61" t="s">
        <v>502</v>
      </c>
      <c r="B75" s="62" t="s">
        <v>503</v>
      </c>
      <c r="C75" s="63" t="s">
        <v>504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65">
        <f t="shared" ref="N75:N78" si="10">SUM(D75:M75)</f>
        <v>0</v>
      </c>
      <c r="O75" s="104"/>
      <c r="P75" s="104"/>
      <c r="Q75" s="104"/>
      <c r="R75" s="104"/>
      <c r="S75" s="104"/>
      <c r="T75" s="104"/>
      <c r="U75" s="104"/>
      <c r="V75" s="104"/>
      <c r="W75" s="105"/>
      <c r="X75" s="364"/>
      <c r="Z75" s="69" t="s">
        <v>502</v>
      </c>
      <c r="AA75" s="109" t="s">
        <v>505</v>
      </c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>
        <f t="shared" si="9"/>
        <v>0</v>
      </c>
    </row>
    <row r="76" spans="1:39" ht="55.2" x14ac:dyDescent="0.3">
      <c r="A76" s="61" t="s">
        <v>506</v>
      </c>
      <c r="B76" s="62" t="s">
        <v>507</v>
      </c>
      <c r="C76" s="63" t="s">
        <v>508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65">
        <f t="shared" si="10"/>
        <v>0</v>
      </c>
      <c r="O76" s="104"/>
      <c r="P76" s="104"/>
      <c r="Q76" s="104"/>
      <c r="R76" s="104"/>
      <c r="S76" s="104"/>
      <c r="T76" s="104"/>
      <c r="U76" s="104"/>
      <c r="V76" s="104"/>
      <c r="W76" s="105"/>
      <c r="X76" s="364"/>
      <c r="Z76" s="69" t="s">
        <v>509</v>
      </c>
      <c r="AA76" s="109" t="s">
        <v>510</v>
      </c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>
        <f t="shared" si="9"/>
        <v>0</v>
      </c>
    </row>
    <row r="77" spans="1:39" ht="55.2" x14ac:dyDescent="0.3">
      <c r="A77" s="61" t="s">
        <v>509</v>
      </c>
      <c r="B77" s="62" t="s">
        <v>511</v>
      </c>
      <c r="C77" s="63" t="s">
        <v>512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65">
        <f t="shared" si="10"/>
        <v>0</v>
      </c>
      <c r="O77" s="104"/>
      <c r="P77" s="104"/>
      <c r="Q77" s="104"/>
      <c r="R77" s="104"/>
      <c r="S77" s="104"/>
      <c r="T77" s="104"/>
      <c r="U77" s="104"/>
      <c r="V77" s="104"/>
      <c r="W77" s="105"/>
      <c r="X77" s="364"/>
      <c r="Z77" s="69" t="s">
        <v>513</v>
      </c>
      <c r="AA77" s="109" t="s">
        <v>514</v>
      </c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>
        <f t="shared" si="9"/>
        <v>0</v>
      </c>
    </row>
    <row r="78" spans="1:39" ht="41.4" x14ac:dyDescent="0.3">
      <c r="A78" s="61" t="s">
        <v>513</v>
      </c>
      <c r="B78" s="62" t="s">
        <v>515</v>
      </c>
      <c r="C78" s="63" t="s">
        <v>52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5">
        <f t="shared" si="10"/>
        <v>0</v>
      </c>
      <c r="O78" s="104"/>
      <c r="P78" s="104"/>
      <c r="Q78" s="104"/>
      <c r="R78" s="104"/>
      <c r="S78" s="104"/>
      <c r="T78" s="104"/>
      <c r="U78" s="104"/>
      <c r="V78" s="104"/>
      <c r="W78" s="105"/>
      <c r="X78" s="364"/>
      <c r="Z78" s="69" t="s">
        <v>516</v>
      </c>
      <c r="AA78" s="109" t="s">
        <v>517</v>
      </c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>
        <f t="shared" si="9"/>
        <v>0</v>
      </c>
    </row>
    <row r="79" spans="1:39" ht="41.4" x14ac:dyDescent="0.3">
      <c r="A79" s="61" t="s">
        <v>516</v>
      </c>
      <c r="B79" s="113" t="s">
        <v>518</v>
      </c>
      <c r="C79" s="114" t="s">
        <v>519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26">
        <f>SUM(D79:M79)</f>
        <v>0</v>
      </c>
      <c r="O79" s="104"/>
      <c r="P79" s="104"/>
      <c r="Q79" s="104"/>
      <c r="R79" s="104"/>
      <c r="S79" s="104"/>
      <c r="T79" s="104"/>
      <c r="U79" s="104"/>
      <c r="V79" s="104"/>
      <c r="W79" s="105"/>
      <c r="X79" s="364"/>
      <c r="Z79" s="69" t="s">
        <v>520</v>
      </c>
      <c r="AA79" s="109" t="s">
        <v>521</v>
      </c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>
        <f t="shared" si="9"/>
        <v>0</v>
      </c>
    </row>
    <row r="80" spans="1:39" ht="69" x14ac:dyDescent="0.3">
      <c r="A80" s="61" t="s">
        <v>520</v>
      </c>
      <c r="B80" s="62" t="s">
        <v>522</v>
      </c>
      <c r="C80" s="63" t="s">
        <v>54</v>
      </c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65">
        <f t="shared" ref="N80:N82" si="11">SUM(D80:M80)</f>
        <v>0</v>
      </c>
      <c r="O80" s="104"/>
      <c r="P80" s="104"/>
      <c r="Q80" s="104"/>
      <c r="R80" s="104"/>
      <c r="S80" s="104"/>
      <c r="T80" s="104"/>
      <c r="U80" s="104"/>
      <c r="V80" s="104"/>
      <c r="W80" s="105"/>
      <c r="X80" s="364"/>
      <c r="Z80" s="69" t="s">
        <v>523</v>
      </c>
      <c r="AA80" s="109" t="s">
        <v>510</v>
      </c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>
        <f t="shared" si="9"/>
        <v>0</v>
      </c>
    </row>
    <row r="81" spans="1:38" ht="27.6" x14ac:dyDescent="0.3">
      <c r="A81" s="61" t="s">
        <v>524</v>
      </c>
      <c r="B81" s="62" t="s">
        <v>525</v>
      </c>
      <c r="C81" s="63" t="s">
        <v>526</v>
      </c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65">
        <f t="shared" si="11"/>
        <v>0</v>
      </c>
      <c r="O81" s="104"/>
      <c r="P81" s="104"/>
      <c r="Q81" s="104"/>
      <c r="R81" s="104"/>
      <c r="S81" s="104"/>
      <c r="T81" s="104"/>
      <c r="U81" s="104"/>
      <c r="V81" s="104"/>
      <c r="W81" s="105"/>
      <c r="X81" s="364"/>
      <c r="Z81" s="69" t="s">
        <v>527</v>
      </c>
      <c r="AA81" s="109" t="s">
        <v>528</v>
      </c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>
        <f t="shared" si="9"/>
        <v>0</v>
      </c>
    </row>
    <row r="82" spans="1:38" ht="41.4" x14ac:dyDescent="0.3">
      <c r="A82" s="61" t="s">
        <v>529</v>
      </c>
      <c r="B82" s="62" t="s">
        <v>530</v>
      </c>
      <c r="C82" s="63" t="s">
        <v>531</v>
      </c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65">
        <f t="shared" si="11"/>
        <v>0</v>
      </c>
      <c r="O82" s="104"/>
      <c r="P82" s="104"/>
      <c r="Q82" s="104"/>
      <c r="R82" s="104"/>
      <c r="S82" s="104"/>
      <c r="T82" s="104"/>
      <c r="U82" s="104"/>
      <c r="V82" s="104"/>
      <c r="W82" s="105"/>
      <c r="X82" s="364"/>
      <c r="Z82" s="116"/>
      <c r="AA82" s="41"/>
    </row>
    <row r="83" spans="1:38" x14ac:dyDescent="0.3">
      <c r="A83" s="49" t="s">
        <v>523</v>
      </c>
      <c r="B83" s="50" t="s">
        <v>532</v>
      </c>
      <c r="C83" s="51" t="s">
        <v>533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3">
        <f>SUM(D83:M83)</f>
        <v>0</v>
      </c>
      <c r="O83" s="104"/>
      <c r="P83" s="104"/>
      <c r="Q83" s="104"/>
      <c r="R83" s="104"/>
      <c r="S83" s="104"/>
      <c r="T83" s="104"/>
      <c r="U83" s="104"/>
      <c r="V83" s="104"/>
      <c r="W83" s="105"/>
      <c r="X83" s="364"/>
    </row>
    <row r="84" spans="1:38" ht="41.4" x14ac:dyDescent="0.3">
      <c r="A84" s="61" t="s">
        <v>527</v>
      </c>
      <c r="B84" s="62" t="s">
        <v>534</v>
      </c>
      <c r="C84" s="63" t="s">
        <v>535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5">
        <f t="shared" ref="N84:N92" si="12">SUM(D84:M84)</f>
        <v>0</v>
      </c>
      <c r="O84" s="104"/>
      <c r="P84" s="104"/>
      <c r="Q84" s="104"/>
      <c r="R84" s="104"/>
      <c r="S84" s="104"/>
      <c r="T84" s="104"/>
      <c r="U84" s="104"/>
      <c r="V84" s="104"/>
      <c r="W84" s="105"/>
      <c r="X84" s="364"/>
    </row>
    <row r="85" spans="1:38" ht="27.6" x14ac:dyDescent="0.3">
      <c r="A85" s="61" t="s">
        <v>536</v>
      </c>
      <c r="B85" s="66" t="s">
        <v>537</v>
      </c>
      <c r="C85" s="67" t="s">
        <v>538</v>
      </c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5">
        <f t="shared" si="12"/>
        <v>0</v>
      </c>
      <c r="O85" s="104"/>
      <c r="P85" s="104"/>
      <c r="Q85" s="104"/>
      <c r="R85" s="104"/>
      <c r="S85" s="104"/>
      <c r="T85" s="104"/>
      <c r="U85" s="104"/>
      <c r="V85" s="104"/>
      <c r="W85" s="105"/>
      <c r="X85" s="364"/>
    </row>
    <row r="86" spans="1:38" ht="41.4" x14ac:dyDescent="0.3">
      <c r="A86" s="61" t="s">
        <v>539</v>
      </c>
      <c r="B86" s="66" t="s">
        <v>540</v>
      </c>
      <c r="C86" s="67" t="s">
        <v>541</v>
      </c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5">
        <f t="shared" si="12"/>
        <v>0</v>
      </c>
      <c r="O86" s="104"/>
      <c r="P86" s="104"/>
      <c r="Q86" s="104"/>
      <c r="R86" s="104"/>
      <c r="S86" s="104"/>
      <c r="T86" s="104"/>
      <c r="U86" s="104"/>
      <c r="V86" s="104"/>
      <c r="W86" s="105"/>
      <c r="X86" s="364"/>
    </row>
    <row r="87" spans="1:38" x14ac:dyDescent="0.3">
      <c r="A87" s="61" t="s">
        <v>542</v>
      </c>
      <c r="B87" s="66" t="s">
        <v>543</v>
      </c>
      <c r="C87" s="67" t="s">
        <v>465</v>
      </c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5">
        <f t="shared" si="12"/>
        <v>0</v>
      </c>
      <c r="O87" s="104"/>
      <c r="P87" s="104"/>
      <c r="Q87" s="104"/>
      <c r="R87" s="104"/>
      <c r="S87" s="104"/>
      <c r="T87" s="104"/>
      <c r="U87" s="104"/>
      <c r="V87" s="104"/>
      <c r="W87" s="105"/>
      <c r="X87" s="364"/>
    </row>
    <row r="88" spans="1:38" ht="27.6" x14ac:dyDescent="0.3">
      <c r="A88" s="61" t="s">
        <v>544</v>
      </c>
      <c r="B88" s="66" t="s">
        <v>545</v>
      </c>
      <c r="C88" s="67" t="s">
        <v>546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65">
        <f t="shared" si="12"/>
        <v>0</v>
      </c>
      <c r="O88" s="104"/>
      <c r="P88" s="104"/>
      <c r="Q88" s="104"/>
      <c r="R88" s="104"/>
      <c r="S88" s="104"/>
      <c r="T88" s="104"/>
      <c r="U88" s="104"/>
      <c r="V88" s="104"/>
      <c r="W88" s="105"/>
      <c r="X88" s="364"/>
    </row>
    <row r="89" spans="1:38" ht="27.6" x14ac:dyDescent="0.3">
      <c r="A89" s="61" t="s">
        <v>547</v>
      </c>
      <c r="B89" s="66" t="s">
        <v>548</v>
      </c>
      <c r="C89" s="67" t="s">
        <v>549</v>
      </c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5">
        <f t="shared" si="12"/>
        <v>0</v>
      </c>
      <c r="O89" s="104"/>
      <c r="P89" s="104"/>
      <c r="Q89" s="104"/>
      <c r="R89" s="104"/>
      <c r="S89" s="104"/>
      <c r="T89" s="104"/>
      <c r="U89" s="104"/>
      <c r="V89" s="104"/>
      <c r="W89" s="105"/>
      <c r="X89" s="364"/>
    </row>
    <row r="90" spans="1:38" ht="27.6" x14ac:dyDescent="0.3">
      <c r="A90" s="61" t="s">
        <v>550</v>
      </c>
      <c r="B90" s="66" t="s">
        <v>551</v>
      </c>
      <c r="C90" s="67" t="s">
        <v>552</v>
      </c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5">
        <f t="shared" si="12"/>
        <v>0</v>
      </c>
      <c r="O90" s="104"/>
      <c r="P90" s="104"/>
      <c r="Q90" s="104"/>
      <c r="R90" s="104"/>
      <c r="S90" s="104"/>
      <c r="T90" s="104"/>
      <c r="U90" s="104"/>
      <c r="V90" s="104"/>
      <c r="W90" s="105"/>
      <c r="X90" s="364"/>
    </row>
    <row r="91" spans="1:38" ht="69" x14ac:dyDescent="0.3">
      <c r="A91" s="61" t="s">
        <v>553</v>
      </c>
      <c r="B91" s="66" t="s">
        <v>554</v>
      </c>
      <c r="C91" s="67" t="s">
        <v>555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5">
        <f t="shared" si="12"/>
        <v>0</v>
      </c>
      <c r="O91" s="104"/>
      <c r="P91" s="104"/>
      <c r="Q91" s="104"/>
      <c r="R91" s="104"/>
      <c r="S91" s="104"/>
      <c r="T91" s="104"/>
      <c r="U91" s="104"/>
      <c r="V91" s="104"/>
      <c r="W91" s="105"/>
      <c r="X91" s="364"/>
    </row>
    <row r="92" spans="1:38" ht="41.4" x14ac:dyDescent="0.3">
      <c r="A92" s="61" t="s">
        <v>556</v>
      </c>
      <c r="B92" s="66" t="s">
        <v>557</v>
      </c>
      <c r="C92" s="67" t="s">
        <v>558</v>
      </c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5">
        <f t="shared" si="12"/>
        <v>0</v>
      </c>
      <c r="O92" s="104"/>
      <c r="P92" s="104"/>
      <c r="Q92" s="104"/>
      <c r="R92" s="104"/>
      <c r="S92" s="104"/>
      <c r="T92" s="104"/>
      <c r="U92" s="104"/>
      <c r="V92" s="104"/>
      <c r="W92" s="105"/>
      <c r="X92" s="364"/>
    </row>
    <row r="93" spans="1:38" ht="69" x14ac:dyDescent="0.3">
      <c r="A93" s="61" t="s">
        <v>559</v>
      </c>
      <c r="B93" s="113" t="s">
        <v>560</v>
      </c>
      <c r="C93" s="114" t="s">
        <v>561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26">
        <f>SUM(D93:M93)</f>
        <v>0</v>
      </c>
      <c r="O93" s="104"/>
      <c r="P93" s="104"/>
      <c r="Q93" s="104"/>
      <c r="R93" s="104"/>
      <c r="S93" s="104"/>
      <c r="T93" s="104"/>
      <c r="U93" s="104"/>
      <c r="V93" s="104"/>
      <c r="W93" s="105"/>
      <c r="X93" s="364"/>
    </row>
    <row r="94" spans="1:38" ht="41.4" x14ac:dyDescent="0.3">
      <c r="A94" s="61" t="s">
        <v>562</v>
      </c>
      <c r="B94" s="113" t="s">
        <v>563</v>
      </c>
      <c r="C94" s="114" t="s">
        <v>564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26">
        <f t="shared" ref="N94:N96" si="13">SUM(D94:M94)</f>
        <v>0</v>
      </c>
      <c r="O94" s="104"/>
      <c r="P94" s="104"/>
      <c r="Q94" s="104"/>
      <c r="R94" s="104"/>
      <c r="S94" s="104"/>
      <c r="T94" s="104"/>
      <c r="U94" s="104"/>
      <c r="V94" s="104"/>
      <c r="W94" s="105"/>
      <c r="X94" s="364"/>
    </row>
    <row r="95" spans="1:38" ht="69" x14ac:dyDescent="0.3">
      <c r="A95" s="61" t="s">
        <v>565</v>
      </c>
      <c r="B95" s="113" t="s">
        <v>566</v>
      </c>
      <c r="C95" s="114" t="s">
        <v>567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26">
        <f t="shared" si="13"/>
        <v>0</v>
      </c>
      <c r="O95" s="104"/>
      <c r="P95" s="104"/>
      <c r="Q95" s="104"/>
      <c r="R95" s="104"/>
      <c r="S95" s="104"/>
      <c r="T95" s="104"/>
      <c r="U95" s="104"/>
      <c r="V95" s="104"/>
      <c r="W95" s="105"/>
      <c r="X95" s="364"/>
    </row>
    <row r="96" spans="1:38" ht="55.2" x14ac:dyDescent="0.3">
      <c r="A96" s="61" t="s">
        <v>568</v>
      </c>
      <c r="B96" s="113" t="s">
        <v>569</v>
      </c>
      <c r="C96" s="114" t="s">
        <v>570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26">
        <f t="shared" si="13"/>
        <v>0</v>
      </c>
      <c r="O96" s="104"/>
      <c r="P96" s="104"/>
      <c r="Q96" s="104"/>
      <c r="R96" s="104"/>
      <c r="S96" s="104"/>
      <c r="T96" s="104"/>
      <c r="U96" s="104"/>
      <c r="V96" s="104"/>
      <c r="W96" s="105"/>
      <c r="X96" s="366"/>
    </row>
    <row r="97" spans="1:24" ht="41.4" x14ac:dyDescent="0.3">
      <c r="A97" s="61" t="s">
        <v>571</v>
      </c>
      <c r="B97" s="62" t="s">
        <v>572</v>
      </c>
      <c r="C97" s="63" t="s">
        <v>58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65">
        <f t="shared" ref="N97:N104" si="14">SUM(D97:M97)</f>
        <v>0</v>
      </c>
      <c r="O97" s="104"/>
      <c r="P97" s="104"/>
      <c r="Q97" s="104"/>
      <c r="R97" s="104"/>
      <c r="S97" s="104"/>
      <c r="T97" s="104"/>
      <c r="U97" s="104"/>
      <c r="V97" s="104"/>
      <c r="W97" s="105"/>
      <c r="X97" s="366"/>
    </row>
    <row r="98" spans="1:24" ht="27.6" x14ac:dyDescent="0.3">
      <c r="A98" s="61" t="s">
        <v>573</v>
      </c>
      <c r="B98" s="62" t="s">
        <v>574</v>
      </c>
      <c r="C98" s="63" t="s">
        <v>575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65">
        <f t="shared" si="14"/>
        <v>0</v>
      </c>
      <c r="O98" s="104"/>
      <c r="P98" s="104"/>
      <c r="Q98" s="104"/>
      <c r="R98" s="104"/>
      <c r="S98" s="104"/>
      <c r="T98" s="104"/>
      <c r="U98" s="104"/>
      <c r="V98" s="104"/>
      <c r="W98" s="105"/>
      <c r="X98" s="366"/>
    </row>
    <row r="99" spans="1:24" ht="55.2" x14ac:dyDescent="0.3">
      <c r="A99" s="61" t="s">
        <v>576</v>
      </c>
      <c r="B99" s="62" t="s">
        <v>577</v>
      </c>
      <c r="C99" s="63" t="s">
        <v>578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65">
        <f t="shared" si="14"/>
        <v>0</v>
      </c>
      <c r="O99" s="104"/>
      <c r="P99" s="104"/>
      <c r="Q99" s="104"/>
      <c r="R99" s="104"/>
      <c r="S99" s="104"/>
      <c r="T99" s="104"/>
      <c r="U99" s="104"/>
      <c r="V99" s="104"/>
      <c r="W99" s="105"/>
      <c r="X99" s="366"/>
    </row>
    <row r="100" spans="1:24" ht="55.2" x14ac:dyDescent="0.3">
      <c r="A100" s="61" t="s">
        <v>579</v>
      </c>
      <c r="B100" s="62" t="s">
        <v>580</v>
      </c>
      <c r="C100" s="63" t="s">
        <v>581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65">
        <f t="shared" si="14"/>
        <v>0</v>
      </c>
      <c r="O100" s="104"/>
      <c r="P100" s="104"/>
      <c r="Q100" s="104"/>
      <c r="R100" s="104"/>
      <c r="S100" s="104"/>
      <c r="T100" s="104"/>
      <c r="U100" s="104"/>
      <c r="V100" s="104"/>
      <c r="W100" s="105"/>
      <c r="X100" s="366"/>
    </row>
    <row r="101" spans="1:24" ht="27.6" x14ac:dyDescent="0.3">
      <c r="A101" s="61" t="s">
        <v>582</v>
      </c>
      <c r="B101" s="62" t="s">
        <v>583</v>
      </c>
      <c r="C101" s="63" t="s">
        <v>584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65">
        <f t="shared" si="14"/>
        <v>0</v>
      </c>
      <c r="O101" s="104"/>
      <c r="P101" s="104"/>
      <c r="Q101" s="104"/>
      <c r="R101" s="104"/>
      <c r="S101" s="104"/>
      <c r="T101" s="104"/>
      <c r="U101" s="104"/>
      <c r="V101" s="104"/>
      <c r="W101" s="105"/>
      <c r="X101" s="366"/>
    </row>
    <row r="102" spans="1:24" ht="55.2" x14ac:dyDescent="0.3">
      <c r="A102" s="61" t="s">
        <v>585</v>
      </c>
      <c r="B102" s="62" t="s">
        <v>586</v>
      </c>
      <c r="C102" s="117" t="s">
        <v>60</v>
      </c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65">
        <f t="shared" si="14"/>
        <v>0</v>
      </c>
      <c r="O102" s="104"/>
      <c r="P102" s="104"/>
      <c r="Q102" s="104"/>
      <c r="R102" s="104"/>
      <c r="S102" s="104"/>
      <c r="T102" s="104"/>
      <c r="U102" s="104"/>
      <c r="V102" s="104"/>
      <c r="W102" s="105"/>
      <c r="X102" s="366"/>
    </row>
    <row r="103" spans="1:24" ht="27.6" x14ac:dyDescent="0.3">
      <c r="A103" s="61" t="s">
        <v>587</v>
      </c>
      <c r="B103" s="62" t="s">
        <v>588</v>
      </c>
      <c r="C103" s="63" t="s">
        <v>589</v>
      </c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65">
        <f t="shared" si="14"/>
        <v>0</v>
      </c>
      <c r="O103" s="104"/>
      <c r="P103" s="104"/>
      <c r="Q103" s="104"/>
      <c r="R103" s="104"/>
      <c r="S103" s="104"/>
      <c r="T103" s="104"/>
      <c r="U103" s="104"/>
      <c r="V103" s="104"/>
      <c r="W103" s="105"/>
      <c r="X103" s="366"/>
    </row>
    <row r="104" spans="1:24" ht="27.6" x14ac:dyDescent="0.3">
      <c r="A104" s="61" t="s">
        <v>590</v>
      </c>
      <c r="B104" s="62" t="s">
        <v>591</v>
      </c>
      <c r="C104" s="63" t="s">
        <v>592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65">
        <f t="shared" si="14"/>
        <v>0</v>
      </c>
      <c r="O104" s="104"/>
      <c r="P104" s="104"/>
      <c r="Q104" s="104"/>
      <c r="R104" s="104"/>
      <c r="S104" s="104"/>
      <c r="T104" s="104"/>
      <c r="U104" s="104"/>
      <c r="V104" s="104"/>
      <c r="W104" s="105"/>
      <c r="X104" s="366"/>
    </row>
    <row r="105" spans="1:24" x14ac:dyDescent="0.3">
      <c r="O105" s="104"/>
      <c r="P105" s="104"/>
      <c r="Q105" s="104"/>
      <c r="R105" s="104"/>
      <c r="S105" s="104"/>
      <c r="T105" s="104"/>
      <c r="U105" s="104"/>
      <c r="V105" s="104"/>
      <c r="W105" s="105"/>
      <c r="X105" s="366"/>
    </row>
    <row r="106" spans="1:24" x14ac:dyDescent="0.3">
      <c r="O106" s="104"/>
      <c r="P106" s="104"/>
      <c r="Q106" s="104"/>
      <c r="R106" s="104"/>
      <c r="S106" s="104"/>
      <c r="T106" s="104"/>
      <c r="U106" s="104"/>
      <c r="V106" s="104"/>
      <c r="W106" s="105"/>
      <c r="X106" s="366"/>
    </row>
    <row r="107" spans="1:24" x14ac:dyDescent="0.3">
      <c r="O107" s="104"/>
      <c r="P107" s="104"/>
      <c r="Q107" s="104"/>
      <c r="R107" s="104"/>
      <c r="S107" s="104"/>
      <c r="T107" s="104"/>
      <c r="U107" s="104"/>
      <c r="V107" s="104"/>
      <c r="W107" s="105"/>
      <c r="X107" s="366"/>
    </row>
    <row r="108" spans="1:24" x14ac:dyDescent="0.3">
      <c r="O108" s="104"/>
      <c r="P108" s="104"/>
      <c r="Q108" s="104"/>
      <c r="R108" s="104"/>
      <c r="S108" s="104"/>
      <c r="T108" s="104"/>
      <c r="U108" s="104"/>
      <c r="V108" s="104"/>
      <c r="W108" s="105"/>
      <c r="X108" s="366"/>
    </row>
    <row r="109" spans="1:24" x14ac:dyDescent="0.3">
      <c r="O109" s="104"/>
      <c r="P109" s="104"/>
      <c r="Q109" s="104"/>
      <c r="R109" s="104"/>
      <c r="S109" s="104"/>
      <c r="T109" s="104"/>
      <c r="U109" s="104"/>
      <c r="V109" s="104"/>
      <c r="W109" s="105"/>
      <c r="X109" s="366"/>
    </row>
    <row r="111" spans="1:24" x14ac:dyDescent="0.3">
      <c r="O111" s="104"/>
      <c r="P111" s="104"/>
      <c r="Q111" s="104"/>
      <c r="R111" s="104"/>
      <c r="S111" s="104"/>
      <c r="T111" s="104"/>
      <c r="U111" s="104"/>
      <c r="V111" s="104"/>
      <c r="W111" s="105"/>
      <c r="X111" s="366"/>
    </row>
    <row r="112" spans="1:24" x14ac:dyDescent="0.3">
      <c r="O112" s="104"/>
      <c r="P112" s="104"/>
      <c r="Q112" s="104"/>
      <c r="R112" s="104"/>
      <c r="S112" s="104"/>
      <c r="T112" s="104"/>
      <c r="U112" s="104"/>
      <c r="V112" s="104"/>
      <c r="W112" s="105"/>
      <c r="X112" s="366"/>
    </row>
    <row r="113" spans="15:24" x14ac:dyDescent="0.3">
      <c r="O113" s="104"/>
      <c r="P113" s="104"/>
      <c r="Q113" s="104"/>
      <c r="R113" s="104"/>
      <c r="S113" s="104"/>
      <c r="T113" s="104"/>
      <c r="U113" s="104"/>
      <c r="V113" s="104"/>
      <c r="W113" s="105"/>
      <c r="X113" s="366"/>
    </row>
    <row r="114" spans="15:24" x14ac:dyDescent="0.3">
      <c r="O114" s="104"/>
      <c r="P114" s="104"/>
      <c r="Q114" s="104"/>
      <c r="R114" s="104"/>
      <c r="S114" s="104"/>
      <c r="T114" s="104"/>
      <c r="U114" s="104"/>
      <c r="V114" s="104"/>
      <c r="W114" s="105"/>
      <c r="X114" s="366"/>
    </row>
    <row r="115" spans="15:24" x14ac:dyDescent="0.3">
      <c r="O115" s="104"/>
      <c r="P115" s="104"/>
      <c r="Q115" s="104"/>
      <c r="R115" s="104"/>
      <c r="S115" s="104"/>
      <c r="T115" s="104"/>
      <c r="U115" s="104"/>
      <c r="V115" s="104"/>
      <c r="W115" s="105"/>
      <c r="X115" s="366"/>
    </row>
    <row r="116" spans="15:24" x14ac:dyDescent="0.3">
      <c r="O116" s="104"/>
      <c r="P116" s="104"/>
      <c r="Q116" s="104"/>
      <c r="R116" s="104"/>
      <c r="S116" s="104"/>
      <c r="T116" s="104"/>
      <c r="U116" s="104"/>
      <c r="V116" s="104"/>
      <c r="W116" s="105"/>
      <c r="X116" s="366"/>
    </row>
    <row r="117" spans="15:24" x14ac:dyDescent="0.3">
      <c r="O117" s="104"/>
      <c r="P117" s="104"/>
      <c r="Q117" s="104"/>
      <c r="R117" s="104"/>
      <c r="S117" s="104"/>
      <c r="T117" s="104"/>
      <c r="U117" s="104"/>
      <c r="V117" s="104"/>
      <c r="W117" s="105"/>
      <c r="X117" s="366"/>
    </row>
    <row r="118" spans="15:24" x14ac:dyDescent="0.3">
      <c r="O118" s="104"/>
      <c r="P118" s="104"/>
      <c r="Q118" s="104"/>
      <c r="R118" s="104"/>
      <c r="S118" s="104"/>
      <c r="T118" s="104"/>
      <c r="U118" s="104"/>
      <c r="V118" s="104"/>
      <c r="W118" s="105"/>
      <c r="X118" s="366"/>
    </row>
    <row r="119" spans="15:24" x14ac:dyDescent="0.3">
      <c r="O119" s="104"/>
      <c r="P119" s="104"/>
      <c r="Q119" s="104"/>
      <c r="R119" s="104"/>
      <c r="S119" s="104"/>
      <c r="T119" s="104"/>
      <c r="U119" s="104"/>
      <c r="V119" s="104"/>
      <c r="W119" s="105"/>
      <c r="X119" s="366"/>
    </row>
    <row r="120" spans="15:24" x14ac:dyDescent="0.3">
      <c r="O120" s="104"/>
      <c r="P120" s="104"/>
      <c r="Q120" s="104"/>
      <c r="R120" s="104"/>
      <c r="S120" s="104"/>
      <c r="T120" s="104"/>
      <c r="U120" s="104"/>
      <c r="V120" s="104"/>
      <c r="W120" s="105"/>
      <c r="X120" s="366"/>
    </row>
    <row r="121" spans="15:24" x14ac:dyDescent="0.3">
      <c r="O121" s="104"/>
      <c r="P121" s="104"/>
      <c r="Q121" s="104"/>
      <c r="R121" s="104"/>
      <c r="S121" s="104"/>
      <c r="T121" s="104"/>
      <c r="U121" s="104"/>
      <c r="V121" s="104"/>
      <c r="W121" s="105"/>
      <c r="X121" s="366"/>
    </row>
    <row r="122" spans="15:24" x14ac:dyDescent="0.3">
      <c r="O122" s="104"/>
      <c r="P122" s="104"/>
      <c r="Q122" s="104"/>
      <c r="R122" s="104"/>
      <c r="S122" s="104"/>
      <c r="T122" s="104"/>
      <c r="U122" s="104"/>
      <c r="V122" s="104"/>
      <c r="W122" s="105"/>
      <c r="X122" s="366"/>
    </row>
    <row r="123" spans="15:24" x14ac:dyDescent="0.3">
      <c r="O123" s="104"/>
      <c r="P123" s="104"/>
      <c r="Q123" s="104"/>
      <c r="R123" s="104"/>
      <c r="S123" s="104"/>
      <c r="T123" s="104"/>
      <c r="U123" s="104"/>
      <c r="V123" s="104"/>
      <c r="W123" s="105"/>
      <c r="X123" s="366"/>
    </row>
    <row r="124" spans="15:24" x14ac:dyDescent="0.3">
      <c r="O124" s="104"/>
      <c r="P124" s="104"/>
      <c r="Q124" s="104"/>
      <c r="R124" s="104"/>
      <c r="S124" s="104"/>
      <c r="T124" s="104"/>
      <c r="U124" s="104"/>
      <c r="V124" s="104"/>
      <c r="W124" s="105"/>
      <c r="X124" s="366"/>
    </row>
    <row r="125" spans="15:24" x14ac:dyDescent="0.3">
      <c r="O125" s="104"/>
      <c r="P125" s="104"/>
      <c r="Q125" s="104"/>
      <c r="R125" s="104"/>
      <c r="S125" s="104"/>
      <c r="T125" s="104"/>
      <c r="U125" s="104"/>
      <c r="V125" s="104"/>
      <c r="W125" s="105"/>
      <c r="X125" s="366"/>
    </row>
    <row r="126" spans="15:24" x14ac:dyDescent="0.3">
      <c r="O126" s="104"/>
      <c r="P126" s="104"/>
      <c r="Q126" s="104"/>
      <c r="R126" s="104"/>
      <c r="S126" s="104"/>
      <c r="T126" s="104"/>
      <c r="U126" s="104"/>
      <c r="V126" s="104"/>
      <c r="W126" s="105"/>
      <c r="X126" s="366"/>
    </row>
    <row r="127" spans="15:24" x14ac:dyDescent="0.3">
      <c r="O127" s="104"/>
      <c r="P127" s="104"/>
      <c r="Q127" s="104"/>
      <c r="R127" s="104"/>
      <c r="S127" s="104"/>
      <c r="T127" s="104"/>
      <c r="U127" s="104"/>
      <c r="V127" s="104"/>
      <c r="W127" s="105"/>
      <c r="X127" s="366"/>
    </row>
    <row r="128" spans="15:24" x14ac:dyDescent="0.3">
      <c r="O128" s="104"/>
      <c r="P128" s="104"/>
      <c r="Q128" s="104"/>
      <c r="R128" s="104"/>
      <c r="S128" s="104"/>
      <c r="T128" s="104"/>
      <c r="U128" s="104"/>
      <c r="V128" s="104"/>
      <c r="W128" s="105"/>
      <c r="X128" s="366"/>
    </row>
    <row r="129" spans="15:24" x14ac:dyDescent="0.3">
      <c r="O129" s="104"/>
      <c r="P129" s="104"/>
      <c r="Q129" s="104"/>
      <c r="R129" s="104"/>
      <c r="S129" s="104"/>
      <c r="T129" s="104"/>
      <c r="U129" s="104"/>
      <c r="V129" s="104"/>
      <c r="W129" s="105"/>
      <c r="X129" s="366"/>
    </row>
    <row r="130" spans="15:24" x14ac:dyDescent="0.3">
      <c r="O130" s="104"/>
      <c r="P130" s="104"/>
      <c r="Q130" s="104"/>
      <c r="R130" s="104"/>
      <c r="S130" s="104"/>
      <c r="T130" s="104"/>
      <c r="U130" s="104"/>
      <c r="V130" s="104"/>
      <c r="W130" s="105"/>
      <c r="X130" s="366"/>
    </row>
  </sheetData>
  <pageMargins left="0.7" right="0.7" top="0.75" bottom="0.75" header="0.3" footer="0.3"/>
  <pageSetup paperSize="9" scale="46" orientation="landscape" verticalDpi="0" r:id="rId1"/>
  <colBreaks count="1" manualBreakCount="1">
    <brk id="2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639" customWidth="1"/>
    <col min="10" max="14" width="5.77734375" customWidth="1"/>
  </cols>
  <sheetData>
    <row r="1" spans="1:179" hidden="1" x14ac:dyDescent="0.3"/>
    <row r="2" spans="1:179" x14ac:dyDescent="0.3">
      <c r="B2" s="18"/>
      <c r="C2" s="18"/>
      <c r="D2" s="18"/>
      <c r="E2" s="18"/>
      <c r="F2" s="18"/>
      <c r="G2" s="18"/>
    </row>
    <row r="3" spans="1:179" x14ac:dyDescent="0.3">
      <c r="A3" s="142" t="s">
        <v>599</v>
      </c>
      <c r="B3" s="142"/>
      <c r="C3" s="142"/>
      <c r="D3" s="142"/>
      <c r="E3" s="142"/>
      <c r="F3" s="142"/>
      <c r="G3" s="182"/>
      <c r="H3" s="159" t="s">
        <v>695</v>
      </c>
    </row>
    <row r="4" spans="1:179" x14ac:dyDescent="0.3">
      <c r="A4" s="832" t="s">
        <v>10</v>
      </c>
      <c r="B4" s="834" t="s">
        <v>952</v>
      </c>
      <c r="C4" s="836"/>
      <c r="D4" s="834" t="s">
        <v>958</v>
      </c>
      <c r="E4" s="836"/>
      <c r="F4" s="834" t="s">
        <v>961</v>
      </c>
      <c r="G4" s="836"/>
      <c r="H4" s="848" t="str">
        <f>IF(LEN(F4)&gt;5,"Индекс " &amp; MID(F4,1,2) &amp; "-" &amp; MID(F4,4,5) &amp; "/" &amp; D4,"Индекс " &amp; F4 &amp; "/" &amp; D4)</f>
        <v>Индекс 2025./2024.</v>
      </c>
    </row>
    <row r="5" spans="1:179" ht="12" customHeight="1" x14ac:dyDescent="0.3">
      <c r="A5" s="833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42"/>
    </row>
    <row r="6" spans="1:179" ht="15" customHeight="1" x14ac:dyDescent="0.3">
      <c r="A6" s="185" t="s">
        <v>908</v>
      </c>
      <c r="B6" s="186">
        <f t="shared" ref="B6:G6" si="0">SUM(B7:B9)</f>
        <v>5338.8799999999992</v>
      </c>
      <c r="C6" s="187">
        <f t="shared" si="0"/>
        <v>68.97682422219745</v>
      </c>
      <c r="D6" s="186">
        <f t="shared" si="0"/>
        <v>5854.741</v>
      </c>
      <c r="E6" s="187">
        <f t="shared" si="0"/>
        <v>70.08161787369788</v>
      </c>
      <c r="F6" s="186">
        <f t="shared" si="0"/>
        <v>6687.3239999999996</v>
      </c>
      <c r="G6" s="187">
        <f t="shared" si="0"/>
        <v>71.533420598380644</v>
      </c>
      <c r="H6" s="195">
        <f>IF(D6&lt;&gt;0,F6/D6*100,"-")</f>
        <v>114.22066321977351</v>
      </c>
    </row>
    <row r="7" spans="1:179" ht="15" customHeight="1" x14ac:dyDescent="0.3">
      <c r="A7" s="147" t="s">
        <v>910</v>
      </c>
      <c r="B7" s="148">
        <v>5123.8829999999998</v>
      </c>
      <c r="C7" s="184">
        <f>IF($B$13&lt;&gt;0,B7*100/$B$13,0)</f>
        <v>66.199123603846829</v>
      </c>
      <c r="D7" s="148">
        <v>5507.5609999999997</v>
      </c>
      <c r="E7" s="184">
        <f>IF($D$13&lt;&gt;0,D7*100/$D$13,0)</f>
        <v>65.925851445534718</v>
      </c>
      <c r="F7" s="148">
        <v>6321.6610000000001</v>
      </c>
      <c r="G7" s="184">
        <f>IF($F$13&lt;&gt;0,F7*100/$F$13,0)</f>
        <v>67.621971837072593</v>
      </c>
      <c r="H7" s="195">
        <f t="shared" ref="H7:H13" si="1">IF(D7&lt;&gt;0,F7/D7*100,"-")</f>
        <v>114.78149765386168</v>
      </c>
    </row>
    <row r="8" spans="1:179" ht="15" customHeight="1" x14ac:dyDescent="0.3">
      <c r="A8" s="147" t="s">
        <v>911</v>
      </c>
      <c r="B8" s="148">
        <v>8.4580000000000002</v>
      </c>
      <c r="C8" s="184">
        <f>IF($B$13&lt;&gt;0,B8*100/$B$13,0)</f>
        <v>0.10927497513923259</v>
      </c>
      <c r="D8" s="148">
        <v>99.108000000000004</v>
      </c>
      <c r="E8" s="184">
        <f>IF($D$13&lt;&gt;0,D8*100/$D$13,0)</f>
        <v>1.1863289911930264</v>
      </c>
      <c r="F8" s="148">
        <v>55.026000000000003</v>
      </c>
      <c r="G8" s="184">
        <f>IF($F$13&lt;&gt;0,F8*100/$F$13,0)</f>
        <v>0.58860584620193279</v>
      </c>
      <c r="H8" s="195">
        <f t="shared" si="1"/>
        <v>55.521249545949871</v>
      </c>
    </row>
    <row r="9" spans="1:179" ht="15" customHeight="1" x14ac:dyDescent="0.3">
      <c r="A9" s="147" t="s">
        <v>912</v>
      </c>
      <c r="B9" s="148">
        <v>206.53899999999999</v>
      </c>
      <c r="C9" s="184">
        <f>IF($B$13&lt;&gt;0,B9*100/$B$13,0)</f>
        <v>2.6684256432113922</v>
      </c>
      <c r="D9" s="148">
        <v>248.072</v>
      </c>
      <c r="E9" s="184">
        <f>IF($D$13&lt;&gt;0,D9*100/$D$13,0)</f>
        <v>2.969437436970138</v>
      </c>
      <c r="F9" s="148">
        <v>310.637</v>
      </c>
      <c r="G9" s="184">
        <f>IF($F$13&lt;&gt;0,F9*100/$F$13,0)</f>
        <v>3.3228429151061278</v>
      </c>
      <c r="H9" s="144">
        <f t="shared" si="1"/>
        <v>125.22050049985486</v>
      </c>
    </row>
    <row r="10" spans="1:179" ht="15" customHeight="1" x14ac:dyDescent="0.3">
      <c r="A10" s="196" t="s">
        <v>909</v>
      </c>
      <c r="B10" s="404">
        <f t="shared" ref="B10:G10" si="2">SUM(B11:B12)</f>
        <v>2401.2269999999999</v>
      </c>
      <c r="C10" s="481">
        <f t="shared" si="2"/>
        <v>31.023175777802557</v>
      </c>
      <c r="D10" s="404">
        <f t="shared" si="2"/>
        <v>2499.4339999999997</v>
      </c>
      <c r="E10" s="481">
        <f t="shared" si="2"/>
        <v>29.91838212630212</v>
      </c>
      <c r="F10" s="404">
        <f t="shared" si="2"/>
        <v>2661.2070000000003</v>
      </c>
      <c r="G10" s="481">
        <f t="shared" si="2"/>
        <v>28.466579401619359</v>
      </c>
      <c r="H10" s="482">
        <f>IF(D10&lt;&gt;0,F10/D10*100,"-")</f>
        <v>106.47238534804282</v>
      </c>
    </row>
    <row r="11" spans="1:179" ht="15" customHeight="1" x14ac:dyDescent="0.3">
      <c r="A11" s="147" t="s">
        <v>913</v>
      </c>
      <c r="B11" s="148">
        <v>2168.6379999999999</v>
      </c>
      <c r="C11" s="184">
        <f>IF($B$13&lt;&gt;0,B11*100/$B$13,0)</f>
        <v>28.018191479781869</v>
      </c>
      <c r="D11" s="148">
        <v>2287.6869999999999</v>
      </c>
      <c r="E11" s="184">
        <f>IF($D$13&lt;&gt;0,D11*100/$D$13,0)</f>
        <v>27.383757223184816</v>
      </c>
      <c r="F11" s="148">
        <v>2452.2150000000001</v>
      </c>
      <c r="G11" s="184">
        <f>IF($F$13&lt;&gt;0,F11*100/$F$13,0)</f>
        <v>26.231019611530414</v>
      </c>
      <c r="H11" s="144">
        <f t="shared" si="1"/>
        <v>107.19189294689353</v>
      </c>
    </row>
    <row r="12" spans="1:179" ht="15" customHeight="1" x14ac:dyDescent="0.3">
      <c r="A12" s="147" t="s">
        <v>914</v>
      </c>
      <c r="B12" s="148">
        <v>232.589</v>
      </c>
      <c r="C12" s="184">
        <f>IF($B$13&lt;&gt;0,B12*100/$B$13,0)</f>
        <v>3.0049842980206867</v>
      </c>
      <c r="D12" s="148">
        <v>211.74700000000001</v>
      </c>
      <c r="E12" s="184">
        <f>IF($D$13&lt;&gt;0,D12*100/$D$13,0)</f>
        <v>2.534624903117304</v>
      </c>
      <c r="F12" s="148">
        <v>208.99199999999999</v>
      </c>
      <c r="G12" s="184">
        <f>IF($F$13&lt;&gt;0,F12*100/$F$13,0)</f>
        <v>2.2355597900889457</v>
      </c>
      <c r="H12" s="144">
        <f t="shared" si="1"/>
        <v>98.698918992949132</v>
      </c>
    </row>
    <row r="13" spans="1:179" s="2" customFormat="1" ht="15" customHeight="1" thickBot="1" x14ac:dyDescent="0.35">
      <c r="A13" s="174" t="s">
        <v>915</v>
      </c>
      <c r="B13" s="175">
        <f t="shared" ref="B13:G13" si="3">B6+B10</f>
        <v>7740.1069999999991</v>
      </c>
      <c r="C13" s="190">
        <f t="shared" si="3"/>
        <v>100</v>
      </c>
      <c r="D13" s="175">
        <f t="shared" si="3"/>
        <v>8354.1749999999993</v>
      </c>
      <c r="E13" s="190">
        <f t="shared" si="3"/>
        <v>100</v>
      </c>
      <c r="F13" s="175">
        <f t="shared" si="3"/>
        <v>9348.530999999999</v>
      </c>
      <c r="G13" s="190">
        <f t="shared" si="3"/>
        <v>100</v>
      </c>
      <c r="H13" s="191">
        <f t="shared" si="1"/>
        <v>111.90250383790141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8"/>
      <c r="C2" s="18"/>
      <c r="D2" s="18"/>
      <c r="E2" s="192"/>
    </row>
    <row r="3" spans="1:181" ht="14.4" customHeight="1" x14ac:dyDescent="0.3">
      <c r="A3" s="142" t="s">
        <v>793</v>
      </c>
      <c r="B3" s="142"/>
      <c r="C3" s="142"/>
      <c r="D3" s="142"/>
      <c r="E3" s="343" t="s">
        <v>695</v>
      </c>
    </row>
    <row r="4" spans="1:181" ht="26.4" customHeight="1" x14ac:dyDescent="0.3">
      <c r="A4" s="193" t="s">
        <v>10</v>
      </c>
      <c r="B4" s="661" t="s">
        <v>952</v>
      </c>
      <c r="C4" s="662" t="s">
        <v>958</v>
      </c>
      <c r="D4" s="662" t="s">
        <v>961</v>
      </c>
      <c r="E4" s="624" t="str">
        <f>IF(LEN(D4)&gt;5,"Индекс " &amp; MID(D4,1,2) &amp; "-" &amp; MID(D4,4,5) &amp; "/" &amp; C4,"Индекс " &amp; D4 &amp; "/" &amp; C4)</f>
        <v>Индекс 2025./2024.</v>
      </c>
    </row>
    <row r="5" spans="1:181" ht="14.1" customHeight="1" x14ac:dyDescent="0.3">
      <c r="A5" s="147" t="s">
        <v>790</v>
      </c>
      <c r="B5" s="194">
        <v>3017.951</v>
      </c>
      <c r="C5" s="163">
        <v>3303.2629999999999</v>
      </c>
      <c r="D5" s="163">
        <v>3741.739</v>
      </c>
      <c r="E5" s="195">
        <f t="shared" ref="E5:E12" si="0">IF(C5&lt;&gt;0,D5/C5*100,"-")</f>
        <v>113.27402631882475</v>
      </c>
    </row>
    <row r="6" spans="1:181" ht="14.1" customHeight="1" x14ac:dyDescent="0.3">
      <c r="A6" s="147" t="s">
        <v>791</v>
      </c>
      <c r="B6" s="194">
        <f>SUM(B7:B8)</f>
        <v>2595.85419</v>
      </c>
      <c r="C6" s="163">
        <f t="shared" ref="C6:D6" si="1">SUM(C7:C8)</f>
        <v>2655.3933900000002</v>
      </c>
      <c r="D6" s="163">
        <f t="shared" si="1"/>
        <v>2895.8443400000001</v>
      </c>
      <c r="E6" s="195">
        <f t="shared" si="0"/>
        <v>109.05519125360179</v>
      </c>
    </row>
    <row r="7" spans="1:181" ht="14.1" customHeight="1" x14ac:dyDescent="0.3">
      <c r="A7" s="183" t="s">
        <v>129</v>
      </c>
      <c r="B7" s="194">
        <v>1921.38789</v>
      </c>
      <c r="C7" s="163">
        <v>2039.73884</v>
      </c>
      <c r="D7" s="163">
        <v>2253.3916800000002</v>
      </c>
      <c r="E7" s="195">
        <f t="shared" si="0"/>
        <v>110.47451937523532</v>
      </c>
    </row>
    <row r="8" spans="1:181" ht="14.1" customHeight="1" x14ac:dyDescent="0.3">
      <c r="A8" s="183" t="s">
        <v>130</v>
      </c>
      <c r="B8" s="194">
        <v>674.46630000000005</v>
      </c>
      <c r="C8" s="163">
        <v>615.65455000000009</v>
      </c>
      <c r="D8" s="163">
        <v>642.45266000000004</v>
      </c>
      <c r="E8" s="195">
        <f t="shared" si="0"/>
        <v>104.35278355369906</v>
      </c>
    </row>
    <row r="9" spans="1:181" ht="14.1" customHeight="1" x14ac:dyDescent="0.3">
      <c r="A9" s="196" t="s">
        <v>131</v>
      </c>
      <c r="B9" s="197">
        <f>IF(B6&lt;&gt;0,B5*100/B6,0)</f>
        <v>116.26042062092863</v>
      </c>
      <c r="C9" s="479">
        <f>IF(C6&lt;&gt;0,C5*100/C6,0)</f>
        <v>124.39825347309461</v>
      </c>
      <c r="D9" s="479">
        <f>IF(D6&lt;&gt;0,D5*100/D6,0)</f>
        <v>129.21063982327172</v>
      </c>
      <c r="E9" s="198">
        <f>IF(C9&lt;&gt;0,D9/C9*100,"-")</f>
        <v>103.86853208611804</v>
      </c>
    </row>
    <row r="10" spans="1:181" ht="14.1" customHeight="1" x14ac:dyDescent="0.3">
      <c r="A10" s="147" t="s">
        <v>792</v>
      </c>
      <c r="B10" s="194">
        <v>1806.7140400000001</v>
      </c>
      <c r="C10" s="163">
        <v>2187.83023</v>
      </c>
      <c r="D10" s="163">
        <v>2592.2410599999998</v>
      </c>
      <c r="E10" s="195">
        <f t="shared" si="0"/>
        <v>118.48456175687818</v>
      </c>
    </row>
    <row r="11" spans="1:181" ht="14.1" customHeight="1" x14ac:dyDescent="0.3">
      <c r="A11" s="147" t="s">
        <v>132</v>
      </c>
      <c r="B11" s="194">
        <f>B6+B10</f>
        <v>4402.5682299999999</v>
      </c>
      <c r="C11" s="163">
        <f t="shared" ref="C11:D11" si="2">C6+C10</f>
        <v>4843.2236200000007</v>
      </c>
      <c r="D11" s="163">
        <f t="shared" si="2"/>
        <v>5488.0853999999999</v>
      </c>
      <c r="E11" s="195">
        <f t="shared" si="0"/>
        <v>113.31472239557667</v>
      </c>
    </row>
    <row r="12" spans="1:181" s="2" customFormat="1" ht="14.1" customHeight="1" thickBot="1" x14ac:dyDescent="0.35">
      <c r="A12" s="174" t="s">
        <v>133</v>
      </c>
      <c r="B12" s="199">
        <f>IF(B11&lt;&gt;0,B5*100/B11,0)</f>
        <v>68.549783724760118</v>
      </c>
      <c r="C12" s="480">
        <f>IF(C11&lt;&gt;0,C5*100/C11,0)</f>
        <v>68.203809263715129</v>
      </c>
      <c r="D12" s="480">
        <f>IF(D11&lt;&gt;0,D5*100/D11,0)</f>
        <v>68.179314410814385</v>
      </c>
      <c r="E12" s="200">
        <f t="shared" si="0"/>
        <v>99.964085799363446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Q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8.77734375" customWidth="1"/>
    <col min="3" max="3" width="5.33203125" customWidth="1"/>
    <col min="4" max="4" width="8.77734375" customWidth="1"/>
    <col min="5" max="5" width="5.33203125" customWidth="1"/>
    <col min="6" max="6" width="8.77734375" customWidth="1"/>
    <col min="7" max="7" width="5.33203125" customWidth="1"/>
    <col min="8" max="8" width="8.77734375" customWidth="1"/>
    <col min="9" max="9" width="5.33203125" customWidth="1"/>
    <col min="10" max="10" width="8.77734375" customWidth="1"/>
    <col min="11" max="11" width="5.33203125" customWidth="1"/>
    <col min="12" max="12" width="8.77734375" customWidth="1"/>
    <col min="13" max="13" width="5.33203125" customWidth="1"/>
    <col min="14" max="14" width="8.44140625" style="32" customWidth="1"/>
  </cols>
  <sheetData>
    <row r="1" spans="1:14" ht="14.4" hidden="1" customHeight="1" thickBot="1" x14ac:dyDescent="0.35"/>
    <row r="2" spans="1:14" x14ac:dyDescent="0.3">
      <c r="B2" s="24"/>
      <c r="C2" s="24"/>
      <c r="D2" s="24"/>
      <c r="E2" s="24"/>
      <c r="F2" s="24"/>
      <c r="G2" s="24"/>
      <c r="H2" s="24"/>
      <c r="I2" s="24"/>
    </row>
    <row r="3" spans="1:14" x14ac:dyDescent="0.3">
      <c r="A3" s="177" t="s">
        <v>648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9" t="s">
        <v>695</v>
      </c>
    </row>
    <row r="4" spans="1:14" ht="15" customHeight="1" x14ac:dyDescent="0.3">
      <c r="A4" s="832" t="s">
        <v>10</v>
      </c>
      <c r="B4" s="843" t="s">
        <v>958</v>
      </c>
      <c r="C4" s="852"/>
      <c r="D4" s="852"/>
      <c r="E4" s="852"/>
      <c r="F4" s="852"/>
      <c r="G4" s="852"/>
      <c r="H4" s="843" t="s">
        <v>961</v>
      </c>
      <c r="I4" s="852"/>
      <c r="J4" s="852"/>
      <c r="K4" s="852"/>
      <c r="L4" s="852"/>
      <c r="M4" s="853"/>
      <c r="N4" s="849" t="str">
        <f>IF(LEN(H4)&gt;5,"Индекс " &amp; MID(H4,1,2) &amp; "-" &amp; MID(H4,4,5) &amp; "/" &amp; B4,"Индекс " &amp; H4 &amp; "/" &amp; B4)</f>
        <v>Индекс 2025./2024.</v>
      </c>
    </row>
    <row r="5" spans="1:14" ht="72" x14ac:dyDescent="0.3">
      <c r="A5" s="851"/>
      <c r="B5" s="201" t="s">
        <v>923</v>
      </c>
      <c r="C5" s="202" t="s">
        <v>3</v>
      </c>
      <c r="D5" s="202" t="s">
        <v>926</v>
      </c>
      <c r="E5" s="202" t="s">
        <v>3</v>
      </c>
      <c r="F5" s="202" t="s">
        <v>16</v>
      </c>
      <c r="G5" s="202" t="s">
        <v>3</v>
      </c>
      <c r="H5" s="201" t="s">
        <v>923</v>
      </c>
      <c r="I5" s="202" t="s">
        <v>3</v>
      </c>
      <c r="J5" s="202" t="s">
        <v>926</v>
      </c>
      <c r="K5" s="202" t="s">
        <v>3</v>
      </c>
      <c r="L5" s="202" t="s">
        <v>16</v>
      </c>
      <c r="M5" s="203" t="s">
        <v>3</v>
      </c>
      <c r="N5" s="850"/>
    </row>
    <row r="6" spans="1:14" ht="12" customHeight="1" x14ac:dyDescent="0.3">
      <c r="A6" s="6" t="s">
        <v>17</v>
      </c>
      <c r="B6" s="169"/>
      <c r="C6" s="204"/>
      <c r="D6" s="7"/>
      <c r="E6" s="204"/>
      <c r="F6" s="5"/>
      <c r="G6" s="204"/>
      <c r="H6" s="169"/>
      <c r="I6" s="204"/>
      <c r="J6" s="7"/>
      <c r="K6" s="204"/>
      <c r="L6" s="5"/>
      <c r="M6" s="675"/>
      <c r="N6" s="144"/>
    </row>
    <row r="7" spans="1:14" ht="12" customHeight="1" x14ac:dyDescent="0.3">
      <c r="A7" s="147" t="s">
        <v>705</v>
      </c>
      <c r="B7" s="664">
        <v>607.29899999999998</v>
      </c>
      <c r="C7" s="674">
        <f>IF(B$20&gt;0,B7*100/B$20,0)</f>
        <v>7.269407212561382</v>
      </c>
      <c r="D7" s="149">
        <v>8.0640000000000001</v>
      </c>
      <c r="E7" s="674">
        <f>IF(D$20&gt;0,D7*100/D$20,0)</f>
        <v>0.60488634752610948</v>
      </c>
      <c r="F7" s="163">
        <f>B7+D7</f>
        <v>615.36299999999994</v>
      </c>
      <c r="G7" s="674">
        <f>IF(F$20&gt;0,F7*100/F$20,0)</f>
        <v>6.3522535339502637</v>
      </c>
      <c r="H7" s="664">
        <v>714.72799999999995</v>
      </c>
      <c r="I7" s="674">
        <f>IF(H$20&gt;0,H7*100/H$20,0)</f>
        <v>7.6453509112822093</v>
      </c>
      <c r="J7" s="149">
        <v>10.877000000000001</v>
      </c>
      <c r="K7" s="674">
        <f>IF(J$20&gt;0,J7*100/J$20,0)</f>
        <v>0.73810478685756831</v>
      </c>
      <c r="L7" s="163">
        <f>H7+J7</f>
        <v>725.6049999999999</v>
      </c>
      <c r="M7" s="676">
        <f>IF(L$20&gt;0,L7*100/L$20,0)</f>
        <v>6.7048013476040378</v>
      </c>
      <c r="N7" s="144">
        <f>IF(F7&lt;&gt;0,L7*100/F7,0)</f>
        <v>117.91495426276846</v>
      </c>
    </row>
    <row r="8" spans="1:14" ht="12" customHeight="1" x14ac:dyDescent="0.3">
      <c r="A8" s="147" t="s">
        <v>706</v>
      </c>
      <c r="B8" s="664">
        <v>1645.068</v>
      </c>
      <c r="C8" s="674">
        <f>IF(B$20&gt;0,B8*100/B$20,0)</f>
        <v>19.691567389957711</v>
      </c>
      <c r="D8" s="149">
        <v>518.36</v>
      </c>
      <c r="E8" s="674">
        <f t="shared" ref="E8:E11" si="0">IF(D$20&gt;0,D8*100/D$20,0)</f>
        <v>38.882550484081605</v>
      </c>
      <c r="F8" s="163">
        <f t="shared" ref="F8:F11" si="1">B8+D8</f>
        <v>2163.4279999999999</v>
      </c>
      <c r="G8" s="674">
        <f t="shared" ref="G8:G11" si="2">IF(F$20&gt;0,F8*100/F$20,0)</f>
        <v>22.332579564333493</v>
      </c>
      <c r="H8" s="664">
        <v>1946.347</v>
      </c>
      <c r="I8" s="674">
        <f>IF(H$20&gt;0,H8*100/H$20,0)</f>
        <v>20.819816503790808</v>
      </c>
      <c r="J8" s="149">
        <v>587.03399999999999</v>
      </c>
      <c r="K8" s="674">
        <f>IF(J$20&gt;0,J8*100/J$20,0)</f>
        <v>39.835672101511975</v>
      </c>
      <c r="L8" s="163">
        <f t="shared" ref="L8:L11" si="3">H8+J8</f>
        <v>2533.3809999999999</v>
      </c>
      <c r="M8" s="676">
        <f t="shared" ref="M8:M11" si="4">IF(L$20&gt;0,L8*100/L$20,0)</f>
        <v>23.409177641822293</v>
      </c>
      <c r="N8" s="144">
        <f>IF(F8&lt;&gt;0,L8*100/F8,0)</f>
        <v>117.10031487065896</v>
      </c>
    </row>
    <row r="9" spans="1:14" ht="12" customHeight="1" x14ac:dyDescent="0.3">
      <c r="A9" s="147" t="s">
        <v>775</v>
      </c>
      <c r="B9" s="664">
        <v>153.98400000000001</v>
      </c>
      <c r="C9" s="674">
        <f t="shared" ref="C9:C11" si="5">IF(B$20&gt;0,B9*100/B$20,0)</f>
        <v>1.8431981613983426</v>
      </c>
      <c r="D9" s="149">
        <v>15.051</v>
      </c>
      <c r="E9" s="674">
        <f t="shared" si="0"/>
        <v>1.1289861627747362</v>
      </c>
      <c r="F9" s="163">
        <f t="shared" si="1"/>
        <v>169.035</v>
      </c>
      <c r="G9" s="674">
        <f t="shared" si="2"/>
        <v>1.7449102011516502</v>
      </c>
      <c r="H9" s="664">
        <v>58.445</v>
      </c>
      <c r="I9" s="674">
        <f t="shared" ref="I9:K11" si="6">IF(H$20&gt;0,H9*100/H$20,0)</f>
        <v>0.62517843712557619</v>
      </c>
      <c r="J9" s="149">
        <v>6.984</v>
      </c>
      <c r="K9" s="674">
        <f t="shared" si="6"/>
        <v>0.47392882517360085</v>
      </c>
      <c r="L9" s="163">
        <f t="shared" si="3"/>
        <v>65.429000000000002</v>
      </c>
      <c r="M9" s="676">
        <f t="shared" si="4"/>
        <v>0.60458299952782113</v>
      </c>
      <c r="N9" s="144">
        <f>IF(F9&lt;&gt;0,L9*100/F9,0)</f>
        <v>38.707368296506644</v>
      </c>
    </row>
    <row r="10" spans="1:14" ht="12" customHeight="1" x14ac:dyDescent="0.3">
      <c r="A10" s="147" t="s">
        <v>794</v>
      </c>
      <c r="B10" s="205">
        <v>3171.9650000000001</v>
      </c>
      <c r="C10" s="674">
        <f t="shared" si="5"/>
        <v>37.968620480179069</v>
      </c>
      <c r="D10" s="163">
        <v>589.529</v>
      </c>
      <c r="E10" s="674">
        <f t="shared" si="0"/>
        <v>44.220987545972193</v>
      </c>
      <c r="F10" s="677">
        <f t="shared" si="1"/>
        <v>3761.4940000000001</v>
      </c>
      <c r="G10" s="674">
        <f t="shared" si="2"/>
        <v>38.829054646497625</v>
      </c>
      <c r="H10" s="205">
        <v>3621.9490000000001</v>
      </c>
      <c r="I10" s="674">
        <f t="shared" si="6"/>
        <v>38.743509541766507</v>
      </c>
      <c r="J10" s="163">
        <v>674.58199999999999</v>
      </c>
      <c r="K10" s="674">
        <f t="shared" si="6"/>
        <v>45.776611503902927</v>
      </c>
      <c r="L10" s="677">
        <f t="shared" si="3"/>
        <v>4296.5309999999999</v>
      </c>
      <c r="M10" s="676">
        <f t="shared" si="4"/>
        <v>39.701196710086791</v>
      </c>
      <c r="N10" s="144">
        <f t="shared" ref="N10:N20" si="7">IF(F10&lt;&gt;0,L10*100/F10,0)</f>
        <v>114.22405565448196</v>
      </c>
    </row>
    <row r="11" spans="1:14" ht="12" customHeight="1" x14ac:dyDescent="0.3">
      <c r="A11" s="147" t="s">
        <v>152</v>
      </c>
      <c r="B11" s="664">
        <v>276.42500000000001</v>
      </c>
      <c r="C11" s="674">
        <f t="shared" si="5"/>
        <v>3.3088246296013666</v>
      </c>
      <c r="D11" s="149">
        <v>10.734999999999999</v>
      </c>
      <c r="E11" s="674">
        <f t="shared" si="0"/>
        <v>0.80523994800257748</v>
      </c>
      <c r="F11" s="163">
        <f t="shared" si="1"/>
        <v>287.16000000000003</v>
      </c>
      <c r="G11" s="674">
        <f t="shared" si="2"/>
        <v>2.9642879484290705</v>
      </c>
      <c r="H11" s="664">
        <v>345.85500000000002</v>
      </c>
      <c r="I11" s="674">
        <f t="shared" si="6"/>
        <v>3.6995652044155385</v>
      </c>
      <c r="J11" s="149">
        <v>12.509</v>
      </c>
      <c r="K11" s="674">
        <f t="shared" si="6"/>
        <v>0.84885104153731017</v>
      </c>
      <c r="L11" s="163">
        <f t="shared" si="3"/>
        <v>358.36400000000003</v>
      </c>
      <c r="M11" s="676">
        <f t="shared" si="4"/>
        <v>3.3113876422196289</v>
      </c>
      <c r="N11" s="144">
        <f t="shared" si="7"/>
        <v>124.79593258113943</v>
      </c>
    </row>
    <row r="12" spans="1:14" ht="12" customHeight="1" x14ac:dyDescent="0.3">
      <c r="A12" s="490" t="s">
        <v>16</v>
      </c>
      <c r="B12" s="678">
        <f t="shared" ref="B12:M12" si="8">SUM(B7:B11)</f>
        <v>5854.7410000000009</v>
      </c>
      <c r="C12" s="679">
        <f t="shared" si="8"/>
        <v>70.081617873697866</v>
      </c>
      <c r="D12" s="552">
        <f t="shared" si="8"/>
        <v>1141.7389999999998</v>
      </c>
      <c r="E12" s="679">
        <f t="shared" si="8"/>
        <v>85.642650488357233</v>
      </c>
      <c r="F12" s="552">
        <f t="shared" si="8"/>
        <v>6996.48</v>
      </c>
      <c r="G12" s="679">
        <f>SUM(G7:G11)</f>
        <v>72.2230858943621</v>
      </c>
      <c r="H12" s="678">
        <f t="shared" si="8"/>
        <v>6687.3240000000005</v>
      </c>
      <c r="I12" s="679">
        <f>SUM(I7:I11)</f>
        <v>71.533420598380644</v>
      </c>
      <c r="J12" s="552">
        <f t="shared" si="8"/>
        <v>1291.9859999999999</v>
      </c>
      <c r="K12" s="679">
        <f t="shared" si="8"/>
        <v>87.673168258983381</v>
      </c>
      <c r="L12" s="552">
        <f t="shared" si="8"/>
        <v>7979.3099999999995</v>
      </c>
      <c r="M12" s="680">
        <f t="shared" si="8"/>
        <v>73.731146341260569</v>
      </c>
      <c r="N12" s="556">
        <f t="shared" si="7"/>
        <v>114.04749245334797</v>
      </c>
    </row>
    <row r="13" spans="1:14" ht="12" customHeight="1" x14ac:dyDescent="0.3">
      <c r="A13" s="6" t="s">
        <v>18</v>
      </c>
      <c r="B13" s="666"/>
      <c r="C13" s="674"/>
      <c r="D13" s="206"/>
      <c r="E13" s="674"/>
      <c r="F13" s="163"/>
      <c r="G13" s="674"/>
      <c r="H13" s="666"/>
      <c r="I13" s="674"/>
      <c r="J13" s="206"/>
      <c r="K13" s="674"/>
      <c r="L13" s="163"/>
      <c r="M13" s="676"/>
      <c r="N13" s="144">
        <f t="shared" si="7"/>
        <v>0</v>
      </c>
    </row>
    <row r="14" spans="1:14" ht="12" customHeight="1" x14ac:dyDescent="0.3">
      <c r="A14" s="147" t="s">
        <v>705</v>
      </c>
      <c r="B14" s="664">
        <v>62.389000000000003</v>
      </c>
      <c r="C14" s="674">
        <f>IF(B$20&gt;0,B14*100/B$20,0)</f>
        <v>0.74680025256832661</v>
      </c>
      <c r="D14" s="149">
        <v>0</v>
      </c>
      <c r="E14" s="674">
        <f>IF(D$20&gt;0,D14*100/D$20,0)</f>
        <v>0</v>
      </c>
      <c r="F14" s="163">
        <f t="shared" ref="F14:F18" si="9">B14+D14</f>
        <v>62.389000000000003</v>
      </c>
      <c r="G14" s="674">
        <f>IF(F$20&gt;0,F14*100/F$20,0)</f>
        <v>0.64402758327950016</v>
      </c>
      <c r="H14" s="664">
        <v>60.19</v>
      </c>
      <c r="I14" s="674">
        <f>IF(H$20&gt;0,H14*100/H$20,0)</f>
        <v>0.64384447139341994</v>
      </c>
      <c r="J14" s="149">
        <v>0</v>
      </c>
      <c r="K14" s="674">
        <f>IF(J$20&gt;0,J14*100/J$20,0)</f>
        <v>0</v>
      </c>
      <c r="L14" s="163">
        <f t="shared" ref="L14:L18" si="10">H14+J14</f>
        <v>60.19</v>
      </c>
      <c r="M14" s="676">
        <f>IF(L$20&gt;0,L14*100/L$20,0)</f>
        <v>0.55617311500373767</v>
      </c>
      <c r="N14" s="144">
        <f t="shared" si="7"/>
        <v>96.475340204202666</v>
      </c>
    </row>
    <row r="15" spans="1:14" ht="12" customHeight="1" x14ac:dyDescent="0.3">
      <c r="A15" s="147" t="s">
        <v>706</v>
      </c>
      <c r="B15" s="664">
        <v>290.86799999999999</v>
      </c>
      <c r="C15" s="674">
        <f t="shared" ref="C15:E18" si="11">IF(B$20&gt;0,B15*100/B$20,0)</f>
        <v>3.4817082476725703</v>
      </c>
      <c r="D15" s="149">
        <v>75.28</v>
      </c>
      <c r="E15" s="674">
        <f t="shared" si="11"/>
        <v>5.6468060815681449</v>
      </c>
      <c r="F15" s="163">
        <f t="shared" si="9"/>
        <v>366.14800000000002</v>
      </c>
      <c r="G15" s="674">
        <f t="shared" ref="G15:G18" si="12">IF(F$20&gt;0,F15*100/F$20,0)</f>
        <v>3.7796632669640871</v>
      </c>
      <c r="H15" s="664">
        <v>209.73500000000001</v>
      </c>
      <c r="I15" s="674">
        <f t="shared" ref="I15" si="13">IF(H$20&gt;0,H15*100/H$20,0)</f>
        <v>2.24350756284597</v>
      </c>
      <c r="J15" s="149">
        <v>65.424000000000007</v>
      </c>
      <c r="K15" s="674">
        <f t="shared" ref="K15" si="14">IF(J$20&gt;0,J15*100/J$20,0)</f>
        <v>4.4396219155437668</v>
      </c>
      <c r="L15" s="163">
        <f t="shared" si="10"/>
        <v>275.15899999999999</v>
      </c>
      <c r="M15" s="676">
        <f t="shared" ref="M15:M18" si="15">IF(L$20&gt;0,L15*100/L$20,0)</f>
        <v>2.5425492299603496</v>
      </c>
      <c r="N15" s="144">
        <f t="shared" si="7"/>
        <v>75.149666255175489</v>
      </c>
    </row>
    <row r="16" spans="1:14" ht="12" customHeight="1" x14ac:dyDescent="0.3">
      <c r="A16" s="147" t="s">
        <v>775</v>
      </c>
      <c r="B16" s="664">
        <v>64.099999999999994</v>
      </c>
      <c r="C16" s="674">
        <f t="shared" si="11"/>
        <v>0.7672810301436106</v>
      </c>
      <c r="D16" s="149">
        <v>6.95</v>
      </c>
      <c r="E16" s="674">
        <f t="shared" si="11"/>
        <v>0.52132441906082105</v>
      </c>
      <c r="F16" s="163">
        <f t="shared" si="9"/>
        <v>71.05</v>
      </c>
      <c r="G16" s="674">
        <f t="shared" si="12"/>
        <v>0.73343313391797404</v>
      </c>
      <c r="H16" s="664">
        <v>66.876000000000005</v>
      </c>
      <c r="I16" s="674">
        <f t="shared" ref="I16" si="16">IF(H$20&gt;0,H16*100/H$20,0)</f>
        <v>0.71536372933886616</v>
      </c>
      <c r="J16" s="149">
        <v>14.037000000000001</v>
      </c>
      <c r="K16" s="674">
        <f t="shared" ref="K16" si="17">IF(J$20&gt;0,J16*100/J$20,0)</f>
        <v>0.95253993685020566</v>
      </c>
      <c r="L16" s="163">
        <f t="shared" si="10"/>
        <v>80.913000000000011</v>
      </c>
      <c r="M16" s="676">
        <f t="shared" si="15"/>
        <v>0.74765966529817962</v>
      </c>
      <c r="N16" s="144">
        <f t="shared" si="7"/>
        <v>113.8817733990148</v>
      </c>
    </row>
    <row r="17" spans="1:173" ht="12" customHeight="1" x14ac:dyDescent="0.3">
      <c r="A17" s="147" t="s">
        <v>794</v>
      </c>
      <c r="B17" s="664">
        <v>1894.8920000000001</v>
      </c>
      <c r="C17" s="674">
        <f t="shared" si="11"/>
        <v>22.681976377080918</v>
      </c>
      <c r="D17" s="149">
        <v>109.08799999999999</v>
      </c>
      <c r="E17" s="674">
        <f t="shared" si="11"/>
        <v>8.1827680901448687</v>
      </c>
      <c r="F17" s="163">
        <f t="shared" si="9"/>
        <v>2003.98</v>
      </c>
      <c r="G17" s="674">
        <f t="shared" si="12"/>
        <v>20.686633803081516</v>
      </c>
      <c r="H17" s="664">
        <v>2136.8359999999998</v>
      </c>
      <c r="I17" s="674">
        <f t="shared" ref="I17" si="18">IF(H$20&gt;0,H17*100/H$20,0)</f>
        <v>22.857452149433954</v>
      </c>
      <c r="J17" s="149">
        <v>102.092</v>
      </c>
      <c r="K17" s="674">
        <f t="shared" ref="K17" si="19">IF(J$20&gt;0,J17*100/J$20,0)</f>
        <v>6.9278839661545337</v>
      </c>
      <c r="L17" s="163">
        <f t="shared" si="10"/>
        <v>2238.9279999999999</v>
      </c>
      <c r="M17" s="676">
        <f t="shared" si="15"/>
        <v>20.688346237399706</v>
      </c>
      <c r="N17" s="144">
        <f t="shared" si="7"/>
        <v>111.72406910248604</v>
      </c>
    </row>
    <row r="18" spans="1:173" ht="12" customHeight="1" x14ac:dyDescent="0.3">
      <c r="A18" s="147" t="s">
        <v>152</v>
      </c>
      <c r="B18" s="664">
        <v>187.185</v>
      </c>
      <c r="C18" s="674">
        <f t="shared" si="11"/>
        <v>2.2406162188366889</v>
      </c>
      <c r="D18" s="149">
        <v>8.5999999999999993E-2</v>
      </c>
      <c r="E18" s="674">
        <f t="shared" si="11"/>
        <v>6.4509208689540439E-3</v>
      </c>
      <c r="F18" s="163">
        <f t="shared" si="9"/>
        <v>187.27100000000002</v>
      </c>
      <c r="G18" s="674">
        <f t="shared" si="12"/>
        <v>1.9331563183948337</v>
      </c>
      <c r="H18" s="664">
        <v>187.57</v>
      </c>
      <c r="I18" s="674">
        <f t="shared" ref="I18" si="20">IF(H$20&gt;0,H18*100/H$20,0)</f>
        <v>2.0064114886071405</v>
      </c>
      <c r="J18" s="149">
        <v>0.1</v>
      </c>
      <c r="K18" s="674">
        <f t="shared" ref="K18" si="21">IF(J$20&gt;0,J18*100/J$20,0)</f>
        <v>6.7859224681214329E-3</v>
      </c>
      <c r="L18" s="163">
        <f t="shared" si="10"/>
        <v>187.67</v>
      </c>
      <c r="M18" s="676">
        <f t="shared" si="15"/>
        <v>1.7341254110774456</v>
      </c>
      <c r="N18" s="144">
        <f t="shared" si="7"/>
        <v>100.21306021754569</v>
      </c>
    </row>
    <row r="19" spans="1:173" ht="12" customHeight="1" x14ac:dyDescent="0.3">
      <c r="A19" s="490" t="s">
        <v>16</v>
      </c>
      <c r="B19" s="678">
        <f>SUM(B14:B18)</f>
        <v>2499.4339999999997</v>
      </c>
      <c r="C19" s="679">
        <f>SUM(C14:C18)</f>
        <v>29.918382126302117</v>
      </c>
      <c r="D19" s="552">
        <f>SUM(D14:D18)</f>
        <v>191.404</v>
      </c>
      <c r="E19" s="679">
        <f>SUM(E14:E18)</f>
        <v>14.357349511642788</v>
      </c>
      <c r="F19" s="552">
        <f t="shared" ref="F19:L19" si="22">SUM(F14:F18)</f>
        <v>2690.8380000000002</v>
      </c>
      <c r="G19" s="679">
        <f>SUM(G14:G18)</f>
        <v>27.776914105637911</v>
      </c>
      <c r="H19" s="678">
        <f t="shared" si="22"/>
        <v>2661.2069999999999</v>
      </c>
      <c r="I19" s="679">
        <f t="shared" si="22"/>
        <v>28.466579401619349</v>
      </c>
      <c r="J19" s="552">
        <f t="shared" si="22"/>
        <v>181.65299999999999</v>
      </c>
      <c r="K19" s="679">
        <f>SUM(K14:K18)</f>
        <v>12.326831741016628</v>
      </c>
      <c r="L19" s="552">
        <f t="shared" si="22"/>
        <v>2842.86</v>
      </c>
      <c r="M19" s="680">
        <f>SUM(M14:M18)</f>
        <v>26.26885365873942</v>
      </c>
      <c r="N19" s="556">
        <f t="shared" si="7"/>
        <v>105.64961547294931</v>
      </c>
    </row>
    <row r="20" spans="1:173" s="2" customFormat="1" ht="12" customHeight="1" thickBot="1" x14ac:dyDescent="0.35">
      <c r="A20" s="170" t="s">
        <v>94</v>
      </c>
      <c r="B20" s="681">
        <f>B19+B12</f>
        <v>8354.1750000000011</v>
      </c>
      <c r="C20" s="682">
        <f>C19+C12</f>
        <v>99.999999999999986</v>
      </c>
      <c r="D20" s="683">
        <f>D19+D12</f>
        <v>1333.1429999999998</v>
      </c>
      <c r="E20" s="682">
        <f>E19+E12</f>
        <v>100.00000000000003</v>
      </c>
      <c r="F20" s="683">
        <f t="shared" ref="F20:L20" si="23">F19+F12</f>
        <v>9687.3179999999993</v>
      </c>
      <c r="G20" s="682">
        <f>G19+G12</f>
        <v>100.00000000000001</v>
      </c>
      <c r="H20" s="681">
        <f t="shared" si="23"/>
        <v>9348.5310000000009</v>
      </c>
      <c r="I20" s="682">
        <f t="shared" si="23"/>
        <v>100</v>
      </c>
      <c r="J20" s="683">
        <f t="shared" si="23"/>
        <v>1473.6389999999999</v>
      </c>
      <c r="K20" s="682">
        <f t="shared" si="23"/>
        <v>100.00000000000001</v>
      </c>
      <c r="L20" s="683">
        <f t="shared" si="23"/>
        <v>10822.17</v>
      </c>
      <c r="M20" s="684">
        <f>M19+M12</f>
        <v>99.999999999999986</v>
      </c>
      <c r="N20" s="643">
        <f t="shared" si="7"/>
        <v>111.71482137780551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FR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368" bestFit="1" customWidth="1"/>
    <col min="2" max="2" width="9.109375" style="368"/>
    <col min="3" max="3" width="5.77734375" style="368" customWidth="1"/>
    <col min="4" max="4" width="9.109375" style="368"/>
    <col min="5" max="5" width="5.77734375" style="368" customWidth="1"/>
    <col min="6" max="6" width="9.109375" style="368"/>
    <col min="7" max="7" width="5.77734375" style="368" customWidth="1"/>
    <col min="8" max="8" width="9.77734375" style="639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142" t="s">
        <v>600</v>
      </c>
      <c r="B3" s="142"/>
      <c r="C3" s="142"/>
      <c r="D3" s="142"/>
      <c r="E3" s="142"/>
      <c r="F3" s="142"/>
      <c r="G3" s="142"/>
      <c r="H3" s="159" t="s">
        <v>695</v>
      </c>
      <c r="I3" s="8"/>
      <c r="J3" s="8"/>
      <c r="K3" s="8"/>
      <c r="L3" s="8"/>
    </row>
    <row r="4" spans="1:174" x14ac:dyDescent="0.3">
      <c r="A4" s="832" t="s">
        <v>10</v>
      </c>
      <c r="B4" s="855" t="s">
        <v>952</v>
      </c>
      <c r="C4" s="856"/>
      <c r="D4" s="855" t="s">
        <v>958</v>
      </c>
      <c r="E4" s="856"/>
      <c r="F4" s="855" t="s">
        <v>961</v>
      </c>
      <c r="G4" s="856"/>
      <c r="H4" s="846" t="str">
        <f>IF(LEN(F4)&gt;5,"Индекс " &amp; MID(F4,1,2) &amp; "-" &amp; MID(F4,4,5) &amp; "/" &amp; D4,"Индекс " &amp; F4 &amp; "/" &amp; D4)</f>
        <v>Индекс 2025./2024.</v>
      </c>
      <c r="I4" s="8"/>
      <c r="J4" s="8"/>
      <c r="K4" s="8"/>
      <c r="L4" s="8"/>
    </row>
    <row r="5" spans="1:174" x14ac:dyDescent="0.3">
      <c r="A5" s="833"/>
      <c r="B5" s="626" t="s">
        <v>2</v>
      </c>
      <c r="C5" s="627" t="s">
        <v>3</v>
      </c>
      <c r="D5" s="626" t="s">
        <v>2</v>
      </c>
      <c r="E5" s="627" t="s">
        <v>3</v>
      </c>
      <c r="F5" s="626" t="s">
        <v>2</v>
      </c>
      <c r="G5" s="627" t="s">
        <v>3</v>
      </c>
      <c r="H5" s="854"/>
      <c r="I5" s="8"/>
      <c r="J5" s="8"/>
      <c r="K5" s="8"/>
      <c r="L5" s="8"/>
    </row>
    <row r="6" spans="1:174" s="8" customFormat="1" ht="12" customHeight="1" x14ac:dyDescent="0.3">
      <c r="A6" s="541" t="s">
        <v>800</v>
      </c>
      <c r="B6" s="685">
        <f t="shared" ref="B6:G6" si="0">B7+B8+B9+B12</f>
        <v>1393.174</v>
      </c>
      <c r="C6" s="686">
        <f t="shared" si="0"/>
        <v>100.00000000000001</v>
      </c>
      <c r="D6" s="685">
        <f t="shared" si="0"/>
        <v>1576.5609999999999</v>
      </c>
      <c r="E6" s="686">
        <f t="shared" si="0"/>
        <v>100</v>
      </c>
      <c r="F6" s="685">
        <f t="shared" si="0"/>
        <v>1720.652</v>
      </c>
      <c r="G6" s="686">
        <f t="shared" si="0"/>
        <v>100</v>
      </c>
      <c r="H6" s="645">
        <f>IF(D6&lt;&gt;0,F6/D6*100,"-")</f>
        <v>109.13957658473095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408" customFormat="1" ht="12" customHeight="1" x14ac:dyDescent="0.3">
      <c r="A7" s="483" t="s">
        <v>801</v>
      </c>
      <c r="B7" s="663">
        <v>660.00300000000004</v>
      </c>
      <c r="C7" s="492">
        <f>IF(B$6&lt;&gt;0,B7*100/B$6,0)</f>
        <v>47.374053779355634</v>
      </c>
      <c r="D7" s="663">
        <v>778.71</v>
      </c>
      <c r="E7" s="492">
        <f t="shared" ref="E7:E12" si="1">IF(D$6&lt;&gt;0,D7*100/D$6,0)</f>
        <v>49.392950859497354</v>
      </c>
      <c r="F7" s="663">
        <v>903.12400000000002</v>
      </c>
      <c r="G7" s="492">
        <f t="shared" ref="G7:G12" si="2">IF(F$6&lt;&gt;0,F7*100/F$6,0)</f>
        <v>52.487312948812431</v>
      </c>
      <c r="H7" s="144">
        <f>IF(D7&lt;&gt;0,F7/D7*100,"-")</f>
        <v>115.97693621502228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408" customFormat="1" ht="12" customHeight="1" x14ac:dyDescent="0.3">
      <c r="A8" s="483" t="s">
        <v>802</v>
      </c>
      <c r="B8" s="663">
        <v>0.876</v>
      </c>
      <c r="C8" s="492">
        <f t="shared" ref="C8:C11" si="3">IF($B$6&lt;&gt;0,B8*100/$B$6,0)</f>
        <v>6.2878003752582234E-2</v>
      </c>
      <c r="D8" s="663">
        <v>26.074000000000002</v>
      </c>
      <c r="E8" s="492">
        <f t="shared" si="1"/>
        <v>1.6538529114953371</v>
      </c>
      <c r="F8" s="663">
        <v>1.9119999999999999</v>
      </c>
      <c r="G8" s="492">
        <f t="shared" si="2"/>
        <v>0.11112066821181737</v>
      </c>
      <c r="H8" s="144">
        <f t="shared" ref="H8:H12" si="4">IF(D8&lt;&gt;0,F8/D8*100,"-")</f>
        <v>7.3329753777709588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408" customFormat="1" ht="12" customHeight="1" x14ac:dyDescent="0.3">
      <c r="A9" s="483" t="s">
        <v>803</v>
      </c>
      <c r="B9" s="663">
        <v>731.96600000000001</v>
      </c>
      <c r="C9" s="492">
        <f t="shared" si="3"/>
        <v>52.539453076213029</v>
      </c>
      <c r="D9" s="663">
        <v>771.49599999999998</v>
      </c>
      <c r="E9" s="492">
        <f t="shared" si="1"/>
        <v>48.935372624338669</v>
      </c>
      <c r="F9" s="663">
        <v>815.33500000000004</v>
      </c>
      <c r="G9" s="492">
        <f t="shared" si="2"/>
        <v>47.385235364268894</v>
      </c>
      <c r="H9" s="144">
        <f t="shared" si="4"/>
        <v>105.68233665501832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408" customFormat="1" ht="12" customHeight="1" x14ac:dyDescent="0.3">
      <c r="A10" s="483" t="s">
        <v>804</v>
      </c>
      <c r="B10" s="663">
        <v>238.30699999999999</v>
      </c>
      <c r="C10" s="492">
        <f t="shared" si="3"/>
        <v>17.105329269710744</v>
      </c>
      <c r="D10" s="663">
        <v>258.10899999999998</v>
      </c>
      <c r="E10" s="492">
        <f t="shared" si="1"/>
        <v>16.371646894728464</v>
      </c>
      <c r="F10" s="663">
        <v>287.31</v>
      </c>
      <c r="G10" s="492">
        <f t="shared" si="2"/>
        <v>16.697740158962997</v>
      </c>
      <c r="H10" s="144">
        <f t="shared" si="4"/>
        <v>111.31343734623744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408" customFormat="1" ht="12" customHeight="1" x14ac:dyDescent="0.3">
      <c r="A11" s="483" t="s">
        <v>805</v>
      </c>
      <c r="B11" s="663">
        <v>493.65899999999999</v>
      </c>
      <c r="C11" s="492">
        <f t="shared" si="3"/>
        <v>35.434123806502278</v>
      </c>
      <c r="D11" s="663">
        <v>513.38699999999994</v>
      </c>
      <c r="E11" s="492">
        <f t="shared" si="1"/>
        <v>32.563725729610205</v>
      </c>
      <c r="F11" s="663">
        <v>528.02499999999998</v>
      </c>
      <c r="G11" s="492">
        <f t="shared" si="2"/>
        <v>30.687495205305893</v>
      </c>
      <c r="H11" s="144">
        <f t="shared" si="4"/>
        <v>102.85126035524858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408" customFormat="1" ht="12" customHeight="1" x14ac:dyDescent="0.3">
      <c r="A12" s="483" t="s">
        <v>806</v>
      </c>
      <c r="B12" s="663">
        <v>0.32900000000000001</v>
      </c>
      <c r="C12" s="492">
        <f>IF($B$6&lt;&gt;0,B12*100/$B$6,0)</f>
        <v>2.3615140678766616E-2</v>
      </c>
      <c r="D12" s="663">
        <v>0.28100000000000003</v>
      </c>
      <c r="E12" s="492">
        <f t="shared" si="1"/>
        <v>1.78236046686427E-2</v>
      </c>
      <c r="F12" s="663">
        <v>0.28100000000000003</v>
      </c>
      <c r="G12" s="492">
        <f t="shared" si="2"/>
        <v>1.6331018706862283E-2</v>
      </c>
      <c r="H12" s="144">
        <f t="shared" si="4"/>
        <v>100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408" customFormat="1" ht="12" customHeight="1" x14ac:dyDescent="0.3">
      <c r="A13" s="542" t="s">
        <v>807</v>
      </c>
      <c r="B13" s="687">
        <v>132.87700000000001</v>
      </c>
      <c r="C13" s="686"/>
      <c r="D13" s="687">
        <v>162.66800000000001</v>
      </c>
      <c r="E13" s="686"/>
      <c r="F13" s="687">
        <v>241.32</v>
      </c>
      <c r="G13" s="686"/>
      <c r="H13" s="189">
        <f>IF(D13&lt;&gt;0,F13/D13*100,"-")</f>
        <v>148.35124302259817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408" customFormat="1" ht="12" customHeight="1" x14ac:dyDescent="0.3">
      <c r="A14" s="542" t="s">
        <v>808</v>
      </c>
      <c r="B14" s="687">
        <v>90.129000000000005</v>
      </c>
      <c r="C14" s="686"/>
      <c r="D14" s="687">
        <v>88.578000000000003</v>
      </c>
      <c r="E14" s="686"/>
      <c r="F14" s="687">
        <v>90.165000000000006</v>
      </c>
      <c r="G14" s="686"/>
      <c r="H14" s="189">
        <f>IF(D14&lt;&gt;0,F14/D14*100,"-")</f>
        <v>101.79164126532547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9" customFormat="1" ht="12" customHeight="1" thickBot="1" x14ac:dyDescent="0.35">
      <c r="A15" s="544" t="s">
        <v>897</v>
      </c>
      <c r="B15" s="688">
        <f>+B6+B13+B14</f>
        <v>1616.1799999999998</v>
      </c>
      <c r="C15" s="689"/>
      <c r="D15" s="688">
        <f>+D6+D13+D14</f>
        <v>1827.8069999999998</v>
      </c>
      <c r="E15" s="689"/>
      <c r="F15" s="688">
        <f>+F6+F13+F14</f>
        <v>2052.1370000000002</v>
      </c>
      <c r="G15" s="689"/>
      <c r="H15" s="176">
        <f>IF(D15&lt;&gt;0,F15/D15*100,"-")</f>
        <v>112.27317763855812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H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142" t="s">
        <v>601</v>
      </c>
      <c r="B3" s="142"/>
      <c r="C3" s="142"/>
      <c r="D3" s="142"/>
      <c r="E3" s="142"/>
      <c r="F3" s="142"/>
      <c r="G3" s="142"/>
      <c r="H3" s="343" t="s">
        <v>695</v>
      </c>
    </row>
    <row r="4" spans="1:8" x14ac:dyDescent="0.3">
      <c r="A4" s="857" t="s">
        <v>10</v>
      </c>
      <c r="B4" s="855" t="s">
        <v>952</v>
      </c>
      <c r="C4" s="856"/>
      <c r="D4" s="855" t="s">
        <v>958</v>
      </c>
      <c r="E4" s="856"/>
      <c r="F4" s="855" t="s">
        <v>961</v>
      </c>
      <c r="G4" s="856"/>
      <c r="H4" s="848" t="str">
        <f>IF(LEN(F4)&gt;5,"Индекс " &amp; MID(F4,1,2) &amp; "-" &amp; MID(F4,4,5) &amp; "/" &amp; D4,"Индекс " &amp; F4 &amp; "/" &amp; D4)</f>
        <v>Индекс 2025./2024.</v>
      </c>
    </row>
    <row r="5" spans="1:8" x14ac:dyDescent="0.3">
      <c r="A5" s="858"/>
      <c r="B5" s="626" t="s">
        <v>2</v>
      </c>
      <c r="C5" s="627" t="s">
        <v>3</v>
      </c>
      <c r="D5" s="626" t="s">
        <v>2</v>
      </c>
      <c r="E5" s="627" t="s">
        <v>3</v>
      </c>
      <c r="F5" s="626" t="s">
        <v>2</v>
      </c>
      <c r="G5" s="628" t="s">
        <v>3</v>
      </c>
      <c r="H5" s="842"/>
    </row>
    <row r="6" spans="1:8" ht="12" customHeight="1" x14ac:dyDescent="0.3">
      <c r="A6" s="488" t="s">
        <v>20</v>
      </c>
      <c r="B6" s="485">
        <f>B7+B8</f>
        <v>392.875</v>
      </c>
      <c r="C6" s="489">
        <f>IF(B$24&lt;&gt;0,ROUND(B6*100/B$24,1),0)</f>
        <v>15.3</v>
      </c>
      <c r="D6" s="485">
        <f>D7+D8</f>
        <v>418.238</v>
      </c>
      <c r="E6" s="489">
        <f>IF(D$24&lt;&gt;0,ROUND(D6*100/D$24,1),0)</f>
        <v>15.2</v>
      </c>
      <c r="F6" s="485">
        <f>F7+F8</f>
        <v>476.738</v>
      </c>
      <c r="G6" s="489">
        <f>IF(F$24&lt;&gt;0,ROUND(F6*100/F$24,1),0)</f>
        <v>15.8</v>
      </c>
      <c r="H6" s="487">
        <f>IF(D6&lt;&gt;0,F6/D6*100,"-")</f>
        <v>113.98725127798048</v>
      </c>
    </row>
    <row r="7" spans="1:8" ht="12" customHeight="1" x14ac:dyDescent="0.3">
      <c r="A7" s="183" t="s">
        <v>19</v>
      </c>
      <c r="B7" s="493">
        <v>233.82</v>
      </c>
      <c r="C7" s="492">
        <f t="shared" ref="C7:G23" si="0">IF(B$24&lt;&gt;0,ROUND(B7*100/B$24,1),0)</f>
        <v>9.1</v>
      </c>
      <c r="D7" s="493">
        <v>254.33</v>
      </c>
      <c r="E7" s="492">
        <f t="shared" si="0"/>
        <v>9.1999999999999993</v>
      </c>
      <c r="F7" s="493">
        <v>294.529</v>
      </c>
      <c r="G7" s="492">
        <f t="shared" si="0"/>
        <v>9.8000000000000007</v>
      </c>
      <c r="H7" s="144">
        <f>IF(D7&lt;&gt;0,F7/D7*100,"-")</f>
        <v>115.80584280265795</v>
      </c>
    </row>
    <row r="8" spans="1:8" ht="12" customHeight="1" x14ac:dyDescent="0.3">
      <c r="A8" s="486" t="s">
        <v>823</v>
      </c>
      <c r="B8" s="493">
        <v>159.05500000000001</v>
      </c>
      <c r="C8" s="494">
        <f t="shared" si="0"/>
        <v>6.2</v>
      </c>
      <c r="D8" s="493">
        <v>163.90799999999999</v>
      </c>
      <c r="E8" s="494">
        <f>IF(D$24&lt;&gt;0,ROUND(D8*100/D$24,1),0)</f>
        <v>5.9</v>
      </c>
      <c r="F8" s="493">
        <v>182.209</v>
      </c>
      <c r="G8" s="494">
        <f t="shared" si="0"/>
        <v>6</v>
      </c>
      <c r="H8" s="495">
        <f t="shared" ref="H8" si="1">IF(D8&lt;&gt;0,F8/D8*100,"-")</f>
        <v>111.16540986407011</v>
      </c>
    </row>
    <row r="9" spans="1:8" ht="12" customHeight="1" x14ac:dyDescent="0.3">
      <c r="A9" s="488" t="s">
        <v>21</v>
      </c>
      <c r="B9" s="485">
        <f>B10+B11</f>
        <v>1463.6510000000001</v>
      </c>
      <c r="C9" s="489">
        <f>IF(B$24&lt;&gt;0,ROUND(B9*100/B$24,1),0)</f>
        <v>57.2</v>
      </c>
      <c r="D9" s="485">
        <f>D10+D11</f>
        <v>1567.54</v>
      </c>
      <c r="E9" s="489">
        <f>IF(D$24&lt;&gt;0,ROUND(D9*100/D$24,1),0)</f>
        <v>56.9</v>
      </c>
      <c r="F9" s="485">
        <f>F10+F11</f>
        <v>1794.0650000000001</v>
      </c>
      <c r="G9" s="489">
        <f>IF(F$24&lt;&gt;0,ROUND(F9*100/F$24,1),0)</f>
        <v>59.5</v>
      </c>
      <c r="H9" s="487">
        <f>IF(D9&lt;&gt;0,F9/D9*100,"-")</f>
        <v>114.45098689666612</v>
      </c>
    </row>
    <row r="10" spans="1:8" ht="12" customHeight="1" x14ac:dyDescent="0.3">
      <c r="A10" s="183" t="s">
        <v>19</v>
      </c>
      <c r="B10" s="493">
        <v>1463.6510000000001</v>
      </c>
      <c r="C10" s="492">
        <f t="shared" si="0"/>
        <v>57.2</v>
      </c>
      <c r="D10" s="493">
        <v>1453.5889999999999</v>
      </c>
      <c r="E10" s="492">
        <f t="shared" si="0"/>
        <v>52.7</v>
      </c>
      <c r="F10" s="493">
        <v>1745.8579999999999</v>
      </c>
      <c r="G10" s="492">
        <f t="shared" si="0"/>
        <v>57.9</v>
      </c>
      <c r="H10" s="144">
        <f t="shared" ref="H10:H11" si="2">IF(D10&lt;&gt;0,F10/D10*100,"-")</f>
        <v>120.10671517189522</v>
      </c>
    </row>
    <row r="11" spans="1:8" ht="12" customHeight="1" x14ac:dyDescent="0.3">
      <c r="A11" s="486" t="s">
        <v>823</v>
      </c>
      <c r="B11" s="496">
        <v>0</v>
      </c>
      <c r="C11" s="494">
        <f t="shared" si="0"/>
        <v>0</v>
      </c>
      <c r="D11" s="496">
        <v>113.95099999999999</v>
      </c>
      <c r="E11" s="494">
        <f t="shared" si="0"/>
        <v>4.0999999999999996</v>
      </c>
      <c r="F11" s="496">
        <v>48.207000000000001</v>
      </c>
      <c r="G11" s="494">
        <f>IF(F$24&lt;&gt;0,ROUND(F11*100/F$24,1),0)</f>
        <v>1.6</v>
      </c>
      <c r="H11" s="495">
        <f t="shared" si="2"/>
        <v>42.305025844441914</v>
      </c>
    </row>
    <row r="12" spans="1:8" ht="12" customHeight="1" x14ac:dyDescent="0.3">
      <c r="A12" s="488" t="s">
        <v>22</v>
      </c>
      <c r="B12" s="485">
        <f>B13+B14</f>
        <v>29.857000000000003</v>
      </c>
      <c r="C12" s="489">
        <f>IF(B$24&lt;&gt;0,ROUND(B12*100/B$24,1),0)</f>
        <v>1.2</v>
      </c>
      <c r="D12" s="485">
        <f>D13+D14</f>
        <v>94.646999999999991</v>
      </c>
      <c r="E12" s="489">
        <f>IF(D$24&lt;&gt;0,ROUND(D12*100/D$24,1),0)</f>
        <v>3.4</v>
      </c>
      <c r="F12" s="485">
        <f>F13+F14</f>
        <v>52.548999999999999</v>
      </c>
      <c r="G12" s="489">
        <f>IF(F$24&lt;&gt;0,ROUND(F12*100/F$24,1),0)</f>
        <v>1.7</v>
      </c>
      <c r="H12" s="487">
        <f>IF(D12&lt;&gt;0,F12/D12*100,"-")</f>
        <v>55.521041343095931</v>
      </c>
    </row>
    <row r="13" spans="1:8" ht="12" customHeight="1" x14ac:dyDescent="0.3">
      <c r="A13" s="183" t="s">
        <v>19</v>
      </c>
      <c r="B13" s="493">
        <v>1.4139999999999999</v>
      </c>
      <c r="C13" s="492">
        <f t="shared" si="0"/>
        <v>0.1</v>
      </c>
      <c r="D13" s="493">
        <v>57.33</v>
      </c>
      <c r="E13" s="492">
        <f t="shared" si="0"/>
        <v>2.1</v>
      </c>
      <c r="F13" s="493">
        <v>2.552</v>
      </c>
      <c r="G13" s="492">
        <f t="shared" si="0"/>
        <v>0.1</v>
      </c>
      <c r="H13" s="144">
        <f t="shared" ref="H13:H14" si="3">IF(D13&lt;&gt;0,F13/D13*100,"-")</f>
        <v>4.4514215942787372</v>
      </c>
    </row>
    <row r="14" spans="1:8" ht="12" customHeight="1" x14ac:dyDescent="0.3">
      <c r="A14" s="486" t="s">
        <v>823</v>
      </c>
      <c r="B14" s="496">
        <v>28.443000000000001</v>
      </c>
      <c r="C14" s="494">
        <f t="shared" si="0"/>
        <v>1.1000000000000001</v>
      </c>
      <c r="D14" s="496">
        <v>37.317</v>
      </c>
      <c r="E14" s="494">
        <f t="shared" si="0"/>
        <v>1.4</v>
      </c>
      <c r="F14" s="496">
        <v>49.997</v>
      </c>
      <c r="G14" s="494">
        <f t="shared" si="0"/>
        <v>1.7</v>
      </c>
      <c r="H14" s="495">
        <f t="shared" si="3"/>
        <v>133.9791515931077</v>
      </c>
    </row>
    <row r="15" spans="1:8" ht="12" customHeight="1" x14ac:dyDescent="0.3">
      <c r="A15" s="488" t="s">
        <v>23</v>
      </c>
      <c r="B15" s="485">
        <f>B16+B17</f>
        <v>673.65700000000004</v>
      </c>
      <c r="C15" s="489">
        <f>IF(B$24&lt;&gt;0,ROUND(B15*100/B$24,1),0)</f>
        <v>26.3</v>
      </c>
      <c r="D15" s="485">
        <f>D16+D17</f>
        <v>675.50599999999997</v>
      </c>
      <c r="E15" s="489">
        <f>IF(D$24&lt;&gt;0,ROUND(D15*100/D$24,1),0)</f>
        <v>24.5</v>
      </c>
      <c r="F15" s="485">
        <f>F16+F17</f>
        <v>690.65700000000004</v>
      </c>
      <c r="G15" s="489">
        <f>IF(F$24&lt;&gt;0,ROUND(F15*100/F$24,1),0)</f>
        <v>22.9</v>
      </c>
      <c r="H15" s="487">
        <f>IF(D15&lt;&gt;0,F15/D15*100,"-")</f>
        <v>102.24291123987057</v>
      </c>
    </row>
    <row r="16" spans="1:8" ht="12" customHeight="1" x14ac:dyDescent="0.3">
      <c r="A16" s="183" t="s">
        <v>19</v>
      </c>
      <c r="B16" s="493">
        <v>0</v>
      </c>
      <c r="C16" s="492">
        <f>IF(B$24&lt;&gt;0,ROUND(B16*100/B$24,1),0)</f>
        <v>0</v>
      </c>
      <c r="D16" s="493">
        <v>0</v>
      </c>
      <c r="E16" s="492">
        <f>IF(D$24&lt;&gt;0,ROUND(D16*100/D$24,1),0)</f>
        <v>0</v>
      </c>
      <c r="F16" s="493">
        <v>0</v>
      </c>
      <c r="G16" s="492">
        <f>IF(F$24&lt;&gt;0,ROUND(F16*100/F$24,1),0)</f>
        <v>0</v>
      </c>
      <c r="H16" s="144" t="str">
        <f t="shared" ref="H16:H17" si="4">IF(D16&lt;&gt;0,F16/D16*100,"-")</f>
        <v>-</v>
      </c>
    </row>
    <row r="17" spans="1:8" ht="12" customHeight="1" x14ac:dyDescent="0.3">
      <c r="A17" s="486" t="s">
        <v>823</v>
      </c>
      <c r="B17" s="496">
        <v>673.65700000000004</v>
      </c>
      <c r="C17" s="494">
        <f t="shared" si="0"/>
        <v>26.3</v>
      </c>
      <c r="D17" s="496">
        <v>675.50599999999997</v>
      </c>
      <c r="E17" s="494">
        <f t="shared" si="0"/>
        <v>24.5</v>
      </c>
      <c r="F17" s="496">
        <v>690.65700000000004</v>
      </c>
      <c r="G17" s="494">
        <f t="shared" si="0"/>
        <v>22.9</v>
      </c>
      <c r="H17" s="495">
        <f t="shared" si="4"/>
        <v>102.24291123987057</v>
      </c>
    </row>
    <row r="18" spans="1:8" ht="12" customHeight="1" x14ac:dyDescent="0.3">
      <c r="A18" s="488" t="s">
        <v>24</v>
      </c>
      <c r="B18" s="485">
        <f>B19+B20</f>
        <v>0</v>
      </c>
      <c r="C18" s="489">
        <f>IF(B$24&lt;&gt;0,ROUND(B18*100/B$24,1),0)</f>
        <v>0</v>
      </c>
      <c r="D18" s="485">
        <f>D19+D20</f>
        <v>0</v>
      </c>
      <c r="E18" s="489">
        <f>IF(D$24&lt;&gt;0,ROUND(D18*100/D$24,1),0)</f>
        <v>0</v>
      </c>
      <c r="F18" s="485">
        <f>F19+F20</f>
        <v>0</v>
      </c>
      <c r="G18" s="489">
        <f>IF(F$24&lt;&gt;0,ROUND(F18*100/F$24,1),0)</f>
        <v>0</v>
      </c>
      <c r="H18" s="487" t="str">
        <f>IF(D18&lt;&gt;0,F18/D18*100,"-")</f>
        <v>-</v>
      </c>
    </row>
    <row r="19" spans="1:8" ht="12" customHeight="1" x14ac:dyDescent="0.3">
      <c r="A19" s="183" t="s">
        <v>19</v>
      </c>
      <c r="B19" s="493">
        <v>0</v>
      </c>
      <c r="C19" s="492">
        <f t="shared" si="0"/>
        <v>0</v>
      </c>
      <c r="D19" s="493">
        <v>0</v>
      </c>
      <c r="E19" s="492">
        <f t="shared" si="0"/>
        <v>0</v>
      </c>
      <c r="F19" s="493">
        <v>0</v>
      </c>
      <c r="G19" s="492">
        <f t="shared" si="0"/>
        <v>0</v>
      </c>
      <c r="H19" s="144" t="str">
        <f t="shared" ref="H19:H20" si="5">IF(D19&lt;&gt;0,F19/D19*100,"-")</f>
        <v>-</v>
      </c>
    </row>
    <row r="20" spans="1:8" ht="12" customHeight="1" x14ac:dyDescent="0.3">
      <c r="A20" s="486" t="s">
        <v>823</v>
      </c>
      <c r="B20" s="496">
        <v>0</v>
      </c>
      <c r="C20" s="494">
        <f t="shared" si="0"/>
        <v>0</v>
      </c>
      <c r="D20" s="496">
        <v>0</v>
      </c>
      <c r="E20" s="494">
        <f t="shared" si="0"/>
        <v>0</v>
      </c>
      <c r="F20" s="496">
        <v>0</v>
      </c>
      <c r="G20" s="494">
        <f t="shared" si="0"/>
        <v>0</v>
      </c>
      <c r="H20" s="495" t="str">
        <f t="shared" si="5"/>
        <v>-</v>
      </c>
    </row>
    <row r="21" spans="1:8" ht="12" customHeight="1" x14ac:dyDescent="0.3">
      <c r="A21" s="488" t="s">
        <v>25</v>
      </c>
      <c r="B21" s="485">
        <f>B22+B23</f>
        <v>0</v>
      </c>
      <c r="C21" s="489">
        <f>IF(B$24&lt;&gt;0,ROUND(B21*100/B$24,1),0)</f>
        <v>0</v>
      </c>
      <c r="D21" s="485">
        <f>D22+D23</f>
        <v>0</v>
      </c>
      <c r="E21" s="489">
        <f>IF(D$24&lt;&gt;0,ROUND(D21*100/D$24,1),0)</f>
        <v>0</v>
      </c>
      <c r="F21" s="485">
        <f>F22+F23</f>
        <v>0</v>
      </c>
      <c r="G21" s="489">
        <f>IF(F$24&lt;&gt;0,ROUND(F21*100/F$24,1),0)</f>
        <v>0</v>
      </c>
      <c r="H21" s="487" t="str">
        <f>IF(D21&lt;&gt;0,F21/D21*100,"-")</f>
        <v>-</v>
      </c>
    </row>
    <row r="22" spans="1:8" ht="12" customHeight="1" x14ac:dyDescent="0.3">
      <c r="A22" s="183" t="s">
        <v>19</v>
      </c>
      <c r="B22" s="493">
        <v>0</v>
      </c>
      <c r="C22" s="492">
        <f t="shared" si="0"/>
        <v>0</v>
      </c>
      <c r="D22" s="493">
        <v>0</v>
      </c>
      <c r="E22" s="492">
        <f t="shared" si="0"/>
        <v>0</v>
      </c>
      <c r="F22" s="493">
        <v>0</v>
      </c>
      <c r="G22" s="492">
        <f t="shared" si="0"/>
        <v>0</v>
      </c>
      <c r="H22" s="144" t="str">
        <f t="shared" ref="H22:H23" si="6">IF(D22&lt;&gt;0,F22/D22*100,"-")</f>
        <v>-</v>
      </c>
    </row>
    <row r="23" spans="1:8" ht="12" customHeight="1" x14ac:dyDescent="0.3">
      <c r="A23" s="183" t="s">
        <v>823</v>
      </c>
      <c r="B23" s="493">
        <v>0</v>
      </c>
      <c r="C23" s="492">
        <f t="shared" si="0"/>
        <v>0</v>
      </c>
      <c r="D23" s="493">
        <v>0</v>
      </c>
      <c r="E23" s="492">
        <f t="shared" si="0"/>
        <v>0</v>
      </c>
      <c r="F23" s="493">
        <v>0</v>
      </c>
      <c r="G23" s="492">
        <f t="shared" si="0"/>
        <v>0</v>
      </c>
      <c r="H23" s="591" t="str">
        <f t="shared" si="6"/>
        <v>-</v>
      </c>
    </row>
    <row r="24" spans="1:8" ht="12" customHeight="1" x14ac:dyDescent="0.3">
      <c r="A24" s="592" t="s">
        <v>30</v>
      </c>
      <c r="B24" s="593">
        <f>SUM(B25:B26)</f>
        <v>2560.04</v>
      </c>
      <c r="C24" s="595">
        <f>C25+C26</f>
        <v>100</v>
      </c>
      <c r="D24" s="593">
        <f>SUM(D25:D26)</f>
        <v>2755.9309999999996</v>
      </c>
      <c r="E24" s="595">
        <f>E25+E26</f>
        <v>100</v>
      </c>
      <c r="F24" s="593">
        <f>SUM(F25:F26)</f>
        <v>3014.009</v>
      </c>
      <c r="G24" s="595">
        <f>G25+G26</f>
        <v>100</v>
      </c>
      <c r="H24" s="594">
        <f>IF(D24&lt;&gt;0,F24/D24*100,"-")</f>
        <v>109.36445796357022</v>
      </c>
    </row>
    <row r="25" spans="1:8" ht="12" customHeight="1" x14ac:dyDescent="0.3">
      <c r="A25" s="183" t="s">
        <v>19</v>
      </c>
      <c r="B25" s="493">
        <f>B7+B10+B13+B16+B19+B22</f>
        <v>1698.885</v>
      </c>
      <c r="C25" s="492">
        <f>IF(B$24&lt;&gt;0,ROUND(B25*100/B$24,1),0)</f>
        <v>66.400000000000006</v>
      </c>
      <c r="D25" s="493">
        <f>D7+D10+D13+D16+D19+D22</f>
        <v>1765.2489999999998</v>
      </c>
      <c r="E25" s="492">
        <f>IF(D$24&lt;&gt;0,ROUND(D25*100/D$24,1),0)</f>
        <v>64.099999999999994</v>
      </c>
      <c r="F25" s="493">
        <f>F7+F10+F13+F16+F19+F22</f>
        <v>2042.9389999999999</v>
      </c>
      <c r="G25" s="492">
        <f>IF(F$24&lt;&gt;0,ROUND(F25*100/F$24,1),0)</f>
        <v>67.8</v>
      </c>
      <c r="H25" s="144">
        <f t="shared" ref="H25:H26" si="7">IF(D25&lt;&gt;0,F25/D25*100,"-")</f>
        <v>115.73092521225053</v>
      </c>
    </row>
    <row r="26" spans="1:8" ht="12" customHeight="1" thickBot="1" x14ac:dyDescent="0.35">
      <c r="A26" s="545" t="s">
        <v>823</v>
      </c>
      <c r="B26" s="498">
        <f>B8+B11+B14+B17+B20+B23</f>
        <v>861.15500000000009</v>
      </c>
      <c r="C26" s="596">
        <f>IF(B$24&lt;&gt;0,ROUND(B26*100/B$24,1),0)</f>
        <v>33.6</v>
      </c>
      <c r="D26" s="498">
        <f>D8+D11+D14+D17+D20+D23</f>
        <v>990.68200000000002</v>
      </c>
      <c r="E26" s="596">
        <f>IF(D$24&lt;&gt;0,ROUND(D26*100/D$24,1),0)</f>
        <v>35.9</v>
      </c>
      <c r="F26" s="498">
        <f>F8+F11+F14+F17+F20+F23</f>
        <v>971.07</v>
      </c>
      <c r="G26" s="596">
        <f>IF(F$24&lt;&gt;0,ROUND(F26*100/F$24,1),0)</f>
        <v>32.200000000000003</v>
      </c>
      <c r="H26" s="497">
        <f t="shared" si="7"/>
        <v>98.020353655360665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2" customWidth="1"/>
    <col min="9" max="14" width="5.77734375" customWidth="1"/>
  </cols>
  <sheetData>
    <row r="1" spans="1:178" ht="15" hidden="1" customHeight="1" thickBot="1" x14ac:dyDescent="0.35">
      <c r="A1" s="181"/>
    </row>
    <row r="3" spans="1:178" x14ac:dyDescent="0.3">
      <c r="A3" s="142" t="s">
        <v>602</v>
      </c>
      <c r="B3" s="142"/>
      <c r="C3" s="142"/>
      <c r="D3" s="142"/>
      <c r="E3" s="142"/>
      <c r="F3" s="142"/>
      <c r="G3" s="142"/>
      <c r="H3" s="159" t="s">
        <v>695</v>
      </c>
    </row>
    <row r="4" spans="1:178" ht="14.4" customHeight="1" x14ac:dyDescent="0.3">
      <c r="A4" s="832" t="s">
        <v>10</v>
      </c>
      <c r="B4" s="855" t="s">
        <v>952</v>
      </c>
      <c r="C4" s="856"/>
      <c r="D4" s="855" t="s">
        <v>958</v>
      </c>
      <c r="E4" s="856"/>
      <c r="F4" s="859" t="s">
        <v>961</v>
      </c>
      <c r="G4" s="860"/>
      <c r="H4" s="846" t="str">
        <f>IF(LEN(F4)&gt;5,"Индекс " &amp; MID(F4,1,2) &amp; "-" &amp; MID(F4,4,5) &amp; "/" &amp; D4,"Индекс " &amp; F4 &amp; "/" &amp; D4)</f>
        <v>Индекс 2025./2024.</v>
      </c>
    </row>
    <row r="5" spans="1:178" x14ac:dyDescent="0.3">
      <c r="A5" s="833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54"/>
    </row>
    <row r="6" spans="1:178" ht="14.1" customHeight="1" x14ac:dyDescent="0.3">
      <c r="A6" s="147" t="s">
        <v>787</v>
      </c>
      <c r="B6" s="148">
        <v>495.464</v>
      </c>
      <c r="C6" s="460">
        <f>IF($B$14&lt;&gt;0,B6*100/$B$14,0)</f>
        <v>8.1806403421886049</v>
      </c>
      <c r="D6" s="148">
        <v>554.67399999999998</v>
      </c>
      <c r="E6" s="460">
        <f>IF($D$14&lt;&gt;0,D6*100/$D$14,0)</f>
        <v>8.2846974748785058</v>
      </c>
      <c r="F6" s="148">
        <v>534.30100000000004</v>
      </c>
      <c r="G6" s="460">
        <f>IF($F$14&lt;&gt;0,F6*100/$F$14,0)</f>
        <v>7.294335084989835</v>
      </c>
      <c r="H6" s="144">
        <f>IF(D6&lt;&gt;0,F6/D6*100,"-")</f>
        <v>96.327031733955451</v>
      </c>
    </row>
    <row r="7" spans="1:178" ht="14.1" customHeight="1" x14ac:dyDescent="0.3">
      <c r="A7" s="147" t="s">
        <v>700</v>
      </c>
      <c r="B7" s="148">
        <v>341.834</v>
      </c>
      <c r="C7" s="460">
        <f>IF($B$14&lt;&gt;0,B7*100/$B$14,0)</f>
        <v>5.6440447958513627</v>
      </c>
      <c r="D7" s="148">
        <v>474.71800000000002</v>
      </c>
      <c r="E7" s="460">
        <f t="shared" ref="E7:E13" si="0">IF($D$14&lt;&gt;0,D7*100/$D$14,0)</f>
        <v>7.0904621739605158</v>
      </c>
      <c r="F7" s="148">
        <v>452.12599999999998</v>
      </c>
      <c r="G7" s="460">
        <f t="shared" ref="G7:G13" si="1">IF($F$14&lt;&gt;0,F7*100/$F$14,0)</f>
        <v>6.1724730903294471</v>
      </c>
      <c r="H7" s="144">
        <f>IF(D7&lt;&gt;0,F7/D7*100,"-")</f>
        <v>95.240964109218524</v>
      </c>
    </row>
    <row r="8" spans="1:178" ht="14.1" customHeight="1" x14ac:dyDescent="0.3">
      <c r="A8" s="147" t="s">
        <v>701</v>
      </c>
      <c r="B8" s="148">
        <v>2098.8150000000001</v>
      </c>
      <c r="C8" s="460">
        <f t="shared" ref="C8:C13" si="2">IF($B$14&lt;&gt;0,B8*100/$B$14,0)</f>
        <v>34.653679500005197</v>
      </c>
      <c r="D8" s="148">
        <v>2266.9110000000001</v>
      </c>
      <c r="E8" s="460">
        <f t="shared" si="0"/>
        <v>33.85893666815879</v>
      </c>
      <c r="F8" s="148">
        <v>2489.9279999999999</v>
      </c>
      <c r="G8" s="460">
        <f t="shared" si="1"/>
        <v>33.99276656696987</v>
      </c>
      <c r="H8" s="144">
        <f>IF(D8&lt;&gt;0,F8/D8*100,"-")</f>
        <v>109.83792482369179</v>
      </c>
    </row>
    <row r="9" spans="1:178" ht="14.1" customHeight="1" x14ac:dyDescent="0.3">
      <c r="A9" s="147" t="s">
        <v>702</v>
      </c>
      <c r="B9" s="148">
        <v>12.942</v>
      </c>
      <c r="C9" s="460">
        <f t="shared" si="2"/>
        <v>0.21368625633467803</v>
      </c>
      <c r="D9" s="148">
        <v>9.85</v>
      </c>
      <c r="E9" s="460">
        <f t="shared" si="0"/>
        <v>0.14712113805145596</v>
      </c>
      <c r="F9" s="148">
        <v>8.6649999999999991</v>
      </c>
      <c r="G9" s="460">
        <f t="shared" si="1"/>
        <v>0.11829551790364777</v>
      </c>
      <c r="H9" s="144">
        <f>IF(D9&lt;&gt;0,F9/D9*100,"-")</f>
        <v>87.969543147208114</v>
      </c>
    </row>
    <row r="10" spans="1:178" ht="14.1" customHeight="1" x14ac:dyDescent="0.3">
      <c r="A10" s="147" t="s">
        <v>703</v>
      </c>
      <c r="B10" s="148">
        <v>0</v>
      </c>
      <c r="C10" s="460">
        <f t="shared" si="2"/>
        <v>0</v>
      </c>
      <c r="D10" s="148">
        <v>0</v>
      </c>
      <c r="E10" s="460">
        <f t="shared" si="0"/>
        <v>0</v>
      </c>
      <c r="F10" s="148">
        <v>0</v>
      </c>
      <c r="G10" s="460">
        <f t="shared" si="1"/>
        <v>0</v>
      </c>
      <c r="H10" s="144" t="str">
        <f t="shared" ref="H10:H13" si="3">IF(D10&lt;&gt;0,F10/D10*100,"-")</f>
        <v>-</v>
      </c>
    </row>
    <row r="11" spans="1:178" ht="14.1" customHeight="1" x14ac:dyDescent="0.3">
      <c r="A11" s="147" t="s">
        <v>704</v>
      </c>
      <c r="B11" s="148">
        <v>68.075999999999993</v>
      </c>
      <c r="C11" s="460">
        <f t="shared" si="2"/>
        <v>1.1240075402750378</v>
      </c>
      <c r="D11" s="148">
        <v>74.546000000000006</v>
      </c>
      <c r="E11" s="460">
        <f t="shared" si="0"/>
        <v>1.1134306961607956</v>
      </c>
      <c r="F11" s="148">
        <v>92.191999999999993</v>
      </c>
      <c r="G11" s="460">
        <f t="shared" si="1"/>
        <v>1.2586151629051465</v>
      </c>
      <c r="H11" s="144">
        <f>IF(D11&lt;&gt;0,F11/D11*100,"-")</f>
        <v>123.67129021007162</v>
      </c>
    </row>
    <row r="12" spans="1:178" ht="14.1" customHeight="1" x14ac:dyDescent="0.3">
      <c r="A12" s="147" t="s">
        <v>789</v>
      </c>
      <c r="B12" s="148">
        <v>3017.951</v>
      </c>
      <c r="C12" s="460">
        <f t="shared" si="2"/>
        <v>49.829597511319569</v>
      </c>
      <c r="D12" s="148">
        <v>3303.2629999999999</v>
      </c>
      <c r="E12" s="460">
        <f t="shared" si="0"/>
        <v>49.338051963783407</v>
      </c>
      <c r="F12" s="148">
        <v>3741.739</v>
      </c>
      <c r="G12" s="460">
        <f t="shared" si="1"/>
        <v>51.082625835577289</v>
      </c>
      <c r="H12" s="144">
        <f>IF(D12&lt;&gt;0,F12/D12*100,"-")</f>
        <v>113.27402631882475</v>
      </c>
    </row>
    <row r="13" spans="1:178" ht="14.1" customHeight="1" x14ac:dyDescent="0.3">
      <c r="A13" s="147" t="s">
        <v>152</v>
      </c>
      <c r="B13" s="148">
        <v>21.460999999999999</v>
      </c>
      <c r="C13" s="460">
        <f t="shared" si="2"/>
        <v>0.35434405402553892</v>
      </c>
      <c r="D13" s="148">
        <v>11.201000000000001</v>
      </c>
      <c r="E13" s="460">
        <f t="shared" si="0"/>
        <v>0.16729988500653387</v>
      </c>
      <c r="F13" s="148">
        <v>5.9249999999999998</v>
      </c>
      <c r="G13" s="460">
        <f t="shared" si="1"/>
        <v>8.088874132476781E-2</v>
      </c>
      <c r="H13" s="144">
        <f t="shared" si="3"/>
        <v>52.89706276225337</v>
      </c>
    </row>
    <row r="14" spans="1:178" s="2" customFormat="1" ht="14.1" customHeight="1" thickBot="1" x14ac:dyDescent="0.35">
      <c r="A14" s="174" t="s">
        <v>30</v>
      </c>
      <c r="B14" s="175">
        <f>SUM(B6:B13)</f>
        <v>6056.5430000000006</v>
      </c>
      <c r="C14" s="461">
        <f>SUM(C6:C13)</f>
        <v>100</v>
      </c>
      <c r="D14" s="175">
        <f>SUM(D6:D13)</f>
        <v>6695.1629999999996</v>
      </c>
      <c r="E14" s="461">
        <f>SUM(E6:E13)</f>
        <v>100</v>
      </c>
      <c r="F14" s="175">
        <f>SUM(F6:F13)</f>
        <v>7324.8760000000002</v>
      </c>
      <c r="G14" s="461">
        <f t="shared" ref="G14" si="4">SUM(G6:G13)</f>
        <v>100</v>
      </c>
      <c r="H14" s="176">
        <f>IF(D14&lt;&gt;0,F14/D14*100,"-")</f>
        <v>109.40549169601996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18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181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42" t="s">
        <v>650</v>
      </c>
      <c r="B3" s="142"/>
      <c r="C3" s="142"/>
      <c r="D3" s="142"/>
      <c r="E3" s="142"/>
      <c r="F3" s="142"/>
      <c r="G3" s="142"/>
      <c r="H3" s="173"/>
      <c r="I3" s="865" t="s">
        <v>695</v>
      </c>
      <c r="J3" s="866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832" t="s">
        <v>10</v>
      </c>
      <c r="B4" s="862" t="s">
        <v>79</v>
      </c>
      <c r="C4" s="863"/>
      <c r="D4" s="863"/>
      <c r="E4" s="862" t="s">
        <v>27</v>
      </c>
      <c r="F4" s="863"/>
      <c r="G4" s="863" t="s">
        <v>14</v>
      </c>
      <c r="H4" s="862" t="s">
        <v>26</v>
      </c>
      <c r="I4" s="863"/>
      <c r="J4" s="864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861"/>
      <c r="B5" s="217" t="s">
        <v>958</v>
      </c>
      <c r="C5" s="218" t="s">
        <v>961</v>
      </c>
      <c r="D5" s="216" t="s">
        <v>9</v>
      </c>
      <c r="E5" s="217" t="s">
        <v>958</v>
      </c>
      <c r="F5" s="218" t="s">
        <v>961</v>
      </c>
      <c r="G5" s="216" t="s">
        <v>9</v>
      </c>
      <c r="H5" s="217" t="s">
        <v>958</v>
      </c>
      <c r="I5" s="218" t="s">
        <v>961</v>
      </c>
      <c r="J5" s="215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1" customFormat="1" ht="13.2" customHeight="1" x14ac:dyDescent="0.3">
      <c r="A6" s="147" t="s">
        <v>787</v>
      </c>
      <c r="B6" s="546">
        <v>8.4339999999999993</v>
      </c>
      <c r="C6" s="543">
        <v>9.9960000000000004</v>
      </c>
      <c r="D6" s="547">
        <f>IF(B6&lt;&gt;0,C6/B6*100,"-")</f>
        <v>118.52027507706902</v>
      </c>
      <c r="E6" s="546">
        <v>545.19399999999996</v>
      </c>
      <c r="F6" s="543">
        <v>523.14800000000002</v>
      </c>
      <c r="G6" s="548">
        <f>IF(E6&lt;&gt;0,F6/E6*100,"-")</f>
        <v>95.956301793490042</v>
      </c>
      <c r="H6" s="546">
        <v>1.046</v>
      </c>
      <c r="I6" s="543">
        <v>1.157</v>
      </c>
      <c r="J6" s="549">
        <f>IF(H6&lt;&gt;0,I6/H6*100,"-")</f>
        <v>110.61185468451242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1" customFormat="1" ht="13.2" customHeight="1" x14ac:dyDescent="0.3">
      <c r="A7" s="147" t="s">
        <v>700</v>
      </c>
      <c r="B7" s="550">
        <v>144.654</v>
      </c>
      <c r="C7" s="163">
        <v>33.420999999999999</v>
      </c>
      <c r="D7" s="549">
        <f t="shared" ref="D7:D14" si="0">IF(B7&lt;&gt;0,C7/B7*100,"-")</f>
        <v>23.104096672058844</v>
      </c>
      <c r="E7" s="550">
        <v>329.447</v>
      </c>
      <c r="F7" s="163">
        <v>417.31599999999997</v>
      </c>
      <c r="G7" s="548">
        <f t="shared" ref="G7:G14" si="1">IF(E7&lt;&gt;0,F7/E7*100,"-")</f>
        <v>126.67166494155357</v>
      </c>
      <c r="H7" s="550">
        <v>0.61699999999999999</v>
      </c>
      <c r="I7" s="163">
        <v>1.389</v>
      </c>
      <c r="J7" s="549">
        <f t="shared" ref="J7:J14" si="2">IF(H7&lt;&gt;0,I7/H7*100,"-")</f>
        <v>225.12155591572122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6" customFormat="1" ht="13.2" customHeight="1" x14ac:dyDescent="0.3">
      <c r="A8" s="147" t="s">
        <v>701</v>
      </c>
      <c r="B8" s="550">
        <v>605.23599999999999</v>
      </c>
      <c r="C8" s="163">
        <v>675.39400000000001</v>
      </c>
      <c r="D8" s="549">
        <f t="shared" si="0"/>
        <v>111.59184186003476</v>
      </c>
      <c r="E8" s="550">
        <v>1597.067</v>
      </c>
      <c r="F8" s="163">
        <v>1732.7819999999999</v>
      </c>
      <c r="G8" s="548">
        <f t="shared" si="1"/>
        <v>108.4977649654022</v>
      </c>
      <c r="H8" s="550">
        <v>64.608000000000004</v>
      </c>
      <c r="I8" s="163">
        <v>81.751999999999995</v>
      </c>
      <c r="J8" s="549">
        <f t="shared" si="2"/>
        <v>126.53541357107478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1" customFormat="1" ht="13.2" customHeight="1" x14ac:dyDescent="0.3">
      <c r="A9" s="147" t="s">
        <v>702</v>
      </c>
      <c r="B9" s="550">
        <v>0.747</v>
      </c>
      <c r="C9" s="163">
        <v>1.2789999999999999</v>
      </c>
      <c r="D9" s="549">
        <f t="shared" si="0"/>
        <v>171.2182061579652</v>
      </c>
      <c r="E9" s="550">
        <v>9.0389999999999997</v>
      </c>
      <c r="F9" s="163">
        <v>7.319</v>
      </c>
      <c r="G9" s="548">
        <f t="shared" si="1"/>
        <v>80.97134638787476</v>
      </c>
      <c r="H9" s="550">
        <v>6.4000000000000001E-2</v>
      </c>
      <c r="I9" s="163">
        <v>6.7000000000000004E-2</v>
      </c>
      <c r="J9" s="549">
        <f t="shared" si="2"/>
        <v>104.6875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3.2" customHeight="1" x14ac:dyDescent="0.3">
      <c r="A10" s="147" t="s">
        <v>703</v>
      </c>
      <c r="B10" s="550">
        <v>0</v>
      </c>
      <c r="C10" s="163">
        <v>0</v>
      </c>
      <c r="D10" s="549" t="str">
        <f t="shared" si="0"/>
        <v>-</v>
      </c>
      <c r="E10" s="550">
        <v>0</v>
      </c>
      <c r="F10" s="163">
        <v>0</v>
      </c>
      <c r="G10" s="548" t="str">
        <f t="shared" si="1"/>
        <v>-</v>
      </c>
      <c r="H10" s="550">
        <v>0</v>
      </c>
      <c r="I10" s="163">
        <v>0</v>
      </c>
      <c r="J10" s="549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1" customFormat="1" ht="13.2" customHeight="1" x14ac:dyDescent="0.3">
      <c r="A11" s="147" t="s">
        <v>704</v>
      </c>
      <c r="B11" s="550">
        <v>16.16</v>
      </c>
      <c r="C11" s="163">
        <v>13.617000000000001</v>
      </c>
      <c r="D11" s="549">
        <f t="shared" si="0"/>
        <v>84.263613861386148</v>
      </c>
      <c r="E11" s="550">
        <v>58.386000000000003</v>
      </c>
      <c r="F11" s="163">
        <v>78.546999999999997</v>
      </c>
      <c r="G11" s="548">
        <f t="shared" si="1"/>
        <v>134.53053814270544</v>
      </c>
      <c r="H11" s="550">
        <v>0</v>
      </c>
      <c r="I11" s="163">
        <v>2.8000000000000001E-2</v>
      </c>
      <c r="J11" s="549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6" customFormat="1" ht="13.2" customHeight="1" x14ac:dyDescent="0.3">
      <c r="A12" s="147" t="s">
        <v>789</v>
      </c>
      <c r="B12" s="550">
        <v>194.11500000000001</v>
      </c>
      <c r="C12" s="163">
        <v>196.28700000000001</v>
      </c>
      <c r="D12" s="549">
        <f t="shared" si="0"/>
        <v>101.11892434896839</v>
      </c>
      <c r="E12" s="550">
        <v>3061.8629999999998</v>
      </c>
      <c r="F12" s="163">
        <v>3494.6869999999999</v>
      </c>
      <c r="G12" s="548">
        <f t="shared" si="1"/>
        <v>114.13596885294999</v>
      </c>
      <c r="H12" s="550">
        <v>47.284999999999997</v>
      </c>
      <c r="I12" s="163">
        <v>50.765000000000001</v>
      </c>
      <c r="J12" s="549">
        <f t="shared" si="2"/>
        <v>107.35962778893942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6" customFormat="1" ht="13.2" customHeight="1" x14ac:dyDescent="0.3">
      <c r="A13" s="147" t="s">
        <v>152</v>
      </c>
      <c r="B13" s="550">
        <v>0.624</v>
      </c>
      <c r="C13" s="163">
        <v>0</v>
      </c>
      <c r="D13" s="549">
        <f t="shared" si="0"/>
        <v>0</v>
      </c>
      <c r="E13" s="550">
        <v>9.4890000000000008</v>
      </c>
      <c r="F13" s="163">
        <v>4.923</v>
      </c>
      <c r="G13" s="548">
        <f t="shared" si="1"/>
        <v>51.881125513752757</v>
      </c>
      <c r="H13" s="550">
        <v>1.0880000000000001</v>
      </c>
      <c r="I13" s="163">
        <v>1.002</v>
      </c>
      <c r="J13" s="549">
        <f t="shared" si="2"/>
        <v>92.095588235294116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7" customFormat="1" ht="14.1" customHeight="1" thickBot="1" x14ac:dyDescent="0.35">
      <c r="A14" s="174" t="s">
        <v>30</v>
      </c>
      <c r="B14" s="551">
        <f>SUM(B6:B13)</f>
        <v>969.96999999999991</v>
      </c>
      <c r="C14" s="359">
        <f>SUM(C6:C13)</f>
        <v>929.99400000000003</v>
      </c>
      <c r="D14" s="176">
        <f t="shared" si="0"/>
        <v>95.87863542171408</v>
      </c>
      <c r="E14" s="551">
        <f>SUM(E6:E13)</f>
        <v>5610.4849999999997</v>
      </c>
      <c r="F14" s="359">
        <f>SUM(F6:F13)</f>
        <v>6258.7219999999998</v>
      </c>
      <c r="G14" s="176">
        <f t="shared" si="1"/>
        <v>111.5540278603365</v>
      </c>
      <c r="H14" s="175">
        <f t="shared" ref="H14:I14" si="3">SUM(H6:H13)</f>
        <v>114.70799999999998</v>
      </c>
      <c r="I14" s="359">
        <f t="shared" si="3"/>
        <v>136.16000000000003</v>
      </c>
      <c r="J14" s="176">
        <f t="shared" si="2"/>
        <v>118.70139833315902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Q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77734375" customWidth="1"/>
    <col min="3" max="3" width="5.6640625" customWidth="1"/>
    <col min="4" max="4" width="8.77734375" customWidth="1"/>
    <col min="5" max="5" width="5.6640625" customWidth="1"/>
    <col min="6" max="6" width="8.77734375" customWidth="1"/>
    <col min="7" max="7" width="5.6640625" customWidth="1"/>
    <col min="8" max="8" width="8.77734375" customWidth="1"/>
    <col min="9" max="9" width="5.6640625" customWidth="1"/>
    <col min="10" max="10" width="8.77734375" customWidth="1"/>
    <col min="11" max="11" width="5.6640625" customWidth="1"/>
    <col min="12" max="12" width="8.77734375" customWidth="1"/>
    <col min="13" max="13" width="5.6640625" customWidth="1"/>
    <col min="14" max="14" width="8.77734375" style="32" customWidth="1"/>
    <col min="15" max="16384" width="8.6640625" style="34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4"/>
      <c r="C2" s="24"/>
      <c r="D2" s="24"/>
      <c r="E2" s="24"/>
      <c r="F2" s="24"/>
      <c r="G2" s="24"/>
      <c r="H2" s="24"/>
      <c r="I2" s="24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77" t="s">
        <v>649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9" t="s">
        <v>695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832" t="s">
        <v>10</v>
      </c>
      <c r="B4" s="867" t="s">
        <v>958</v>
      </c>
      <c r="C4" s="868"/>
      <c r="D4" s="868"/>
      <c r="E4" s="868"/>
      <c r="F4" s="868"/>
      <c r="G4" s="869"/>
      <c r="H4" s="867" t="s">
        <v>961</v>
      </c>
      <c r="I4" s="868"/>
      <c r="J4" s="868"/>
      <c r="K4" s="868"/>
      <c r="L4" s="868"/>
      <c r="M4" s="869"/>
      <c r="N4" s="870" t="str">
        <f>IF(LEN(H4)&gt;5,"Индекс " &amp; MID(H4,1,2) &amp; "-" &amp; MID(H4,4,5) &amp; "/" &amp; B4,"Индекс " &amp; H4 &amp; "/" &amp; B4)</f>
        <v>Индекс 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51"/>
      <c r="B5" s="690" t="s">
        <v>923</v>
      </c>
      <c r="C5" s="224" t="s">
        <v>3</v>
      </c>
      <c r="D5" s="224" t="s">
        <v>926</v>
      </c>
      <c r="E5" s="224" t="s">
        <v>3</v>
      </c>
      <c r="F5" s="224" t="s">
        <v>16</v>
      </c>
      <c r="G5" s="226" t="s">
        <v>3</v>
      </c>
      <c r="H5" s="690" t="s">
        <v>923</v>
      </c>
      <c r="I5" s="224" t="s">
        <v>3</v>
      </c>
      <c r="J5" s="224" t="s">
        <v>926</v>
      </c>
      <c r="K5" s="224" t="s">
        <v>3</v>
      </c>
      <c r="L5" s="224" t="s">
        <v>16</v>
      </c>
      <c r="M5" s="226" t="s">
        <v>3</v>
      </c>
      <c r="N5" s="871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6" t="s">
        <v>28</v>
      </c>
      <c r="B6" s="169"/>
      <c r="C6" s="204"/>
      <c r="D6" s="7"/>
      <c r="E6" s="204"/>
      <c r="F6" s="5"/>
      <c r="G6" s="204"/>
      <c r="H6" s="169"/>
      <c r="I6" s="204"/>
      <c r="J6" s="7"/>
      <c r="K6" s="204"/>
      <c r="L6" s="5"/>
      <c r="M6" s="675"/>
      <c r="N6" s="144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7" t="s">
        <v>705</v>
      </c>
      <c r="B7" s="664">
        <v>9.48</v>
      </c>
      <c r="C7" s="674">
        <f>IF(B$20&gt;0,B7*100/B$20,0)</f>
        <v>0.14159476027693427</v>
      </c>
      <c r="D7" s="149">
        <v>0.874</v>
      </c>
      <c r="E7" s="674">
        <f>IF(D$20&gt;0,D7*100/D$20,0)</f>
        <v>3.7059777336038054E-2</v>
      </c>
      <c r="F7" s="163">
        <f>B7+D7</f>
        <v>10.354000000000001</v>
      </c>
      <c r="G7" s="674">
        <f>IF(F$20&gt;0,F7*100/F$20,0)</f>
        <v>0.11436442089067066</v>
      </c>
      <c r="H7" s="664">
        <v>11.153</v>
      </c>
      <c r="I7" s="674">
        <f>IF(H$20&gt;0,H7*100/H$20,0)</f>
        <v>0.15226196320593002</v>
      </c>
      <c r="J7" s="149">
        <v>0</v>
      </c>
      <c r="K7" s="674">
        <f>IF(J$20&gt;0,J7*100/J$20,0)</f>
        <v>0</v>
      </c>
      <c r="L7" s="163">
        <f>H7+J7</f>
        <v>11.153</v>
      </c>
      <c r="M7" s="676">
        <f>IF(L$20&gt;0,L7*100/L$20,0)</f>
        <v>0.11220793791932095</v>
      </c>
      <c r="N7" s="144">
        <f>IF(F7&lt;&gt;0,L7*100/F7,0)</f>
        <v>107.71682441568474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7" t="s">
        <v>706</v>
      </c>
      <c r="B8" s="664">
        <v>815.11500000000001</v>
      </c>
      <c r="C8" s="674">
        <f>IF(B$20&gt;0,B8*100/B$20,0)</f>
        <v>12.174684918052034</v>
      </c>
      <c r="D8" s="149">
        <v>394.41899999999998</v>
      </c>
      <c r="E8" s="674">
        <f t="shared" ref="E8:E11" si="0">IF(D$20&gt;0,D8*100/D$20,0)</f>
        <v>16.724348188904795</v>
      </c>
      <c r="F8" s="163">
        <f t="shared" ref="F8:F11" si="1">B8+D8</f>
        <v>1209.5340000000001</v>
      </c>
      <c r="G8" s="674">
        <f t="shared" ref="G8:G11" si="2">IF(F$20&gt;0,F8*100/F$20,0)</f>
        <v>13.359827647052002</v>
      </c>
      <c r="H8" s="664">
        <v>791.95600000000002</v>
      </c>
      <c r="I8" s="674">
        <f>IF(H$20&gt;0,H8*100/H$20,0)</f>
        <v>10.811869033687397</v>
      </c>
      <c r="J8" s="149">
        <v>426.04399999999998</v>
      </c>
      <c r="K8" s="674">
        <f>IF(J$20&gt;0,J8*100/J$20,0)</f>
        <v>16.294145498576132</v>
      </c>
      <c r="L8" s="163">
        <f t="shared" ref="L8:L11" si="3">H8+J8</f>
        <v>1218</v>
      </c>
      <c r="M8" s="676">
        <f t="shared" ref="M8:M11" si="4">IF(L$20&gt;0,L8*100/L$20,0)</f>
        <v>12.254036437347164</v>
      </c>
      <c r="N8" s="144">
        <f>IF(F8&lt;&gt;0,L8*100/F8,0)</f>
        <v>100.69993898476602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7" t="s">
        <v>707</v>
      </c>
      <c r="B9" s="664">
        <v>0</v>
      </c>
      <c r="C9" s="674">
        <f>IF(B$20&gt;0,B9*100/B$20,0)</f>
        <v>0</v>
      </c>
      <c r="D9" s="149">
        <v>0.5</v>
      </c>
      <c r="E9" s="674">
        <f t="shared" si="0"/>
        <v>2.1201245615582408E-2</v>
      </c>
      <c r="F9" s="163">
        <f t="shared" si="1"/>
        <v>0.5</v>
      </c>
      <c r="G9" s="674">
        <f t="shared" si="2"/>
        <v>5.5227168674266301E-3</v>
      </c>
      <c r="H9" s="664">
        <v>0</v>
      </c>
      <c r="I9" s="674">
        <f t="shared" ref="I9:K11" si="5">IF(H$20&gt;0,H9*100/H$20,0)</f>
        <v>0</v>
      </c>
      <c r="J9" s="149">
        <v>1.1120000000000001</v>
      </c>
      <c r="K9" s="674">
        <f t="shared" si="5"/>
        <v>4.2528682000959203E-2</v>
      </c>
      <c r="L9" s="163">
        <f t="shared" si="3"/>
        <v>1.1120000000000001</v>
      </c>
      <c r="M9" s="676">
        <f t="shared" si="4"/>
        <v>1.1187593200599383E-2</v>
      </c>
      <c r="N9" s="144">
        <f>IF(F9&lt;&gt;0,L9*100/F9,0)</f>
        <v>222.40000000000003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7" t="s">
        <v>794</v>
      </c>
      <c r="B10" s="205">
        <v>241.4</v>
      </c>
      <c r="C10" s="674">
        <f>IF(B$20&gt;0,B10*100/B$20,0)</f>
        <v>3.6055880939717229</v>
      </c>
      <c r="D10" s="163">
        <v>41.101999999999997</v>
      </c>
      <c r="E10" s="674">
        <f t="shared" si="0"/>
        <v>1.7428271945833362</v>
      </c>
      <c r="F10" s="677">
        <f t="shared" si="1"/>
        <v>282.50200000000001</v>
      </c>
      <c r="G10" s="674">
        <f t="shared" si="2"/>
        <v>3.1203571209635155</v>
      </c>
      <c r="H10" s="205">
        <v>247.05199999999999</v>
      </c>
      <c r="I10" s="674">
        <f t="shared" si="5"/>
        <v>3.3727806450238886</v>
      </c>
      <c r="J10" s="163">
        <v>43.341000000000001</v>
      </c>
      <c r="K10" s="674">
        <f t="shared" si="5"/>
        <v>1.6575859771614863</v>
      </c>
      <c r="L10" s="677">
        <f t="shared" si="3"/>
        <v>290.39299999999997</v>
      </c>
      <c r="M10" s="676">
        <f t="shared" si="4"/>
        <v>2.9215816117820643</v>
      </c>
      <c r="N10" s="144">
        <f t="shared" ref="N10:N20" si="6">IF(F10&lt;&gt;0,L10*100/F10,0)</f>
        <v>102.79325456102964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7" t="s">
        <v>152</v>
      </c>
      <c r="B11" s="664">
        <v>18.683</v>
      </c>
      <c r="C11" s="674">
        <f>IF(B$20&gt;0,B11*100/B$20,0)</f>
        <v>0.27905220530105096</v>
      </c>
      <c r="D11" s="149">
        <v>3.2000000000000001E-2</v>
      </c>
      <c r="E11" s="674">
        <f t="shared" si="0"/>
        <v>1.3568797193972742E-3</v>
      </c>
      <c r="F11" s="163">
        <f t="shared" si="1"/>
        <v>18.715</v>
      </c>
      <c r="G11" s="674">
        <f t="shared" si="2"/>
        <v>0.20671529234777875</v>
      </c>
      <c r="H11" s="664">
        <v>15.993</v>
      </c>
      <c r="I11" s="674">
        <f t="shared" si="5"/>
        <v>0.21833816708979101</v>
      </c>
      <c r="J11" s="149">
        <v>0.02</v>
      </c>
      <c r="K11" s="674">
        <f t="shared" si="5"/>
        <v>7.6490435253523728E-4</v>
      </c>
      <c r="L11" s="163">
        <f t="shared" si="3"/>
        <v>16.013000000000002</v>
      </c>
      <c r="M11" s="676">
        <f t="shared" si="4"/>
        <v>0.16110335424568156</v>
      </c>
      <c r="N11" s="144">
        <f t="shared" si="6"/>
        <v>85.562383115148293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490" t="s">
        <v>16</v>
      </c>
      <c r="B12" s="678">
        <f t="shared" ref="B12:M12" si="7">SUM(B7:B11)</f>
        <v>1084.6780000000001</v>
      </c>
      <c r="C12" s="679">
        <f>SUM(C7:C11)</f>
        <v>16.200919977601743</v>
      </c>
      <c r="D12" s="552">
        <f t="shared" si="7"/>
        <v>436.92699999999996</v>
      </c>
      <c r="E12" s="679">
        <f t="shared" si="7"/>
        <v>18.526793286159151</v>
      </c>
      <c r="F12" s="552">
        <f t="shared" si="7"/>
        <v>1521.605</v>
      </c>
      <c r="G12" s="679">
        <f>SUM(G7:G11)</f>
        <v>16.806787198121391</v>
      </c>
      <c r="H12" s="678">
        <f t="shared" si="7"/>
        <v>1066.154</v>
      </c>
      <c r="I12" s="679">
        <f>SUM(I7:I11)</f>
        <v>14.555249809007007</v>
      </c>
      <c r="J12" s="552">
        <f t="shared" si="7"/>
        <v>470.517</v>
      </c>
      <c r="K12" s="679">
        <f t="shared" si="7"/>
        <v>17.995025062091113</v>
      </c>
      <c r="L12" s="552">
        <f t="shared" si="7"/>
        <v>1536.671</v>
      </c>
      <c r="M12" s="680">
        <f t="shared" si="7"/>
        <v>15.460116934494831</v>
      </c>
      <c r="N12" s="556">
        <f t="shared" si="6"/>
        <v>100.99013870222561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" t="s">
        <v>29</v>
      </c>
      <c r="B13" s="666"/>
      <c r="C13" s="674"/>
      <c r="D13" s="206"/>
      <c r="E13" s="674"/>
      <c r="F13" s="163"/>
      <c r="G13" s="674"/>
      <c r="H13" s="666"/>
      <c r="I13" s="674"/>
      <c r="J13" s="206"/>
      <c r="K13" s="674"/>
      <c r="L13" s="163"/>
      <c r="M13" s="676"/>
      <c r="N13" s="144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47" t="s">
        <v>705</v>
      </c>
      <c r="B14" s="664">
        <v>545.19399999999996</v>
      </c>
      <c r="C14" s="674">
        <f>IF(B$20&gt;0,B14*100/B$20,0)</f>
        <v>8.1431027146015715</v>
      </c>
      <c r="D14" s="149">
        <v>90.816999999999993</v>
      </c>
      <c r="E14" s="674">
        <f>IF(D$20&gt;0,D14*100/D$20,0)</f>
        <v>3.8508670461406944</v>
      </c>
      <c r="F14" s="163">
        <f t="shared" ref="F14:F18" si="8">B14+D14</f>
        <v>636.01099999999997</v>
      </c>
      <c r="G14" s="674">
        <f>IF(F$20&gt;0,F14*100/F$20,0)</f>
        <v>7.0250173551377566</v>
      </c>
      <c r="H14" s="664">
        <v>523.14800000000002</v>
      </c>
      <c r="I14" s="674">
        <f>IF(H$20&gt;0,H14*100/H$20,0)</f>
        <v>7.1420731217839046</v>
      </c>
      <c r="J14" s="149">
        <v>104.861</v>
      </c>
      <c r="K14" s="674">
        <f>IF(J$20&gt;0,J14*100/J$20,0)</f>
        <v>4.0104317655598765</v>
      </c>
      <c r="L14" s="163">
        <f t="shared" ref="L14:L18" si="9">H14+J14</f>
        <v>628.00900000000001</v>
      </c>
      <c r="M14" s="676">
        <f>IF(L$20&gt;0,L14*100/L$20,0)</f>
        <v>6.3182636855352667</v>
      </c>
      <c r="N14" s="144">
        <f t="shared" si="6"/>
        <v>98.741845659902111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147" t="s">
        <v>706</v>
      </c>
      <c r="B15" s="664">
        <v>1926.5139999999999</v>
      </c>
      <c r="C15" s="674">
        <f t="shared" ref="C15:E18" si="10">IF(B$20&gt;0,B15*100/B$20,0)</f>
        <v>28.774713924067271</v>
      </c>
      <c r="D15" s="149">
        <v>735.58</v>
      </c>
      <c r="E15" s="674">
        <f t="shared" si="10"/>
        <v>31.190424499820214</v>
      </c>
      <c r="F15" s="163">
        <f t="shared" si="8"/>
        <v>2662.0940000000001</v>
      </c>
      <c r="G15" s="674">
        <f t="shared" ref="G15:G18" si="11">IF(F$20&gt;0,F15*100/F$20,0)</f>
        <v>29.403982872950454</v>
      </c>
      <c r="H15" s="664">
        <v>2150.098</v>
      </c>
      <c r="I15" s="674">
        <f t="shared" ref="I15:I18" si="12">IF(H$20&gt;0,H15*100/H$20,0)</f>
        <v>29.353370623611919</v>
      </c>
      <c r="J15" s="149">
        <v>774.75900000000001</v>
      </c>
      <c r="K15" s="674">
        <f t="shared" ref="K15:K18" si="13">IF(J$20&gt;0,J15*100/J$20,0)</f>
        <v>29.630826563292395</v>
      </c>
      <c r="L15" s="163">
        <f t="shared" si="9"/>
        <v>2924.857</v>
      </c>
      <c r="M15" s="676">
        <f t="shared" ref="M15:M18" si="14">IF(L$20&gt;0,L15*100/L$20,0)</f>
        <v>29.426358170796316</v>
      </c>
      <c r="N15" s="144">
        <f t="shared" si="6"/>
        <v>109.87053800504415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147" t="s">
        <v>707</v>
      </c>
      <c r="B16" s="664">
        <v>0</v>
      </c>
      <c r="C16" s="674">
        <f t="shared" si="10"/>
        <v>0</v>
      </c>
      <c r="D16" s="149">
        <v>10.608000000000001</v>
      </c>
      <c r="E16" s="674">
        <f t="shared" si="10"/>
        <v>0.44980562698019633</v>
      </c>
      <c r="F16" s="163">
        <f t="shared" si="8"/>
        <v>10.608000000000001</v>
      </c>
      <c r="G16" s="674">
        <f t="shared" si="11"/>
        <v>0.11716996105932337</v>
      </c>
      <c r="H16" s="664">
        <v>0</v>
      </c>
      <c r="I16" s="674">
        <f t="shared" si="12"/>
        <v>0</v>
      </c>
      <c r="J16" s="149">
        <v>16.157</v>
      </c>
      <c r="K16" s="674">
        <f t="shared" si="13"/>
        <v>0.61792798119559145</v>
      </c>
      <c r="L16" s="163">
        <f t="shared" si="9"/>
        <v>16.157</v>
      </c>
      <c r="M16" s="676">
        <f t="shared" si="14"/>
        <v>0.16255210732201816</v>
      </c>
      <c r="N16" s="144">
        <f t="shared" si="6"/>
        <v>152.30957767722472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147" t="s">
        <v>794</v>
      </c>
      <c r="B17" s="664">
        <v>3061.8629999999998</v>
      </c>
      <c r="C17" s="674">
        <f t="shared" si="10"/>
        <v>45.732463869811681</v>
      </c>
      <c r="D17" s="149">
        <v>1080.6890000000001</v>
      </c>
      <c r="E17" s="674">
        <f t="shared" si="10"/>
        <v>45.823905846116276</v>
      </c>
      <c r="F17" s="163">
        <f t="shared" si="8"/>
        <v>4142.5519999999997</v>
      </c>
      <c r="G17" s="674">
        <f t="shared" si="11"/>
        <v>45.756283609183832</v>
      </c>
      <c r="H17" s="664">
        <v>3494.6869999999999</v>
      </c>
      <c r="I17" s="674">
        <f t="shared" si="12"/>
        <v>47.709845190553395</v>
      </c>
      <c r="J17" s="149">
        <v>1246.2629999999999</v>
      </c>
      <c r="K17" s="674">
        <f t="shared" si="13"/>
        <v>47.663599655181116</v>
      </c>
      <c r="L17" s="163">
        <f t="shared" si="9"/>
        <v>4740.95</v>
      </c>
      <c r="M17" s="676">
        <f t="shared" si="14"/>
        <v>47.697679842069817</v>
      </c>
      <c r="N17" s="144">
        <f t="shared" si="6"/>
        <v>114.44515361545251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147" t="s">
        <v>152</v>
      </c>
      <c r="B18" s="664">
        <v>76.914000000000001</v>
      </c>
      <c r="C18" s="674">
        <f t="shared" si="10"/>
        <v>1.1487995139177345</v>
      </c>
      <c r="D18" s="149">
        <v>3.7309999999999999</v>
      </c>
      <c r="E18" s="674">
        <f t="shared" si="10"/>
        <v>0.1582036947834759</v>
      </c>
      <c r="F18" s="163">
        <f t="shared" si="8"/>
        <v>80.644999999999996</v>
      </c>
      <c r="G18" s="674">
        <f t="shared" si="11"/>
        <v>0.89075900354724113</v>
      </c>
      <c r="H18" s="664">
        <v>90.789000000000001</v>
      </c>
      <c r="I18" s="674">
        <f t="shared" si="12"/>
        <v>1.2394612550437714</v>
      </c>
      <c r="J18" s="149">
        <v>2.149</v>
      </c>
      <c r="K18" s="674">
        <f t="shared" si="13"/>
        <v>8.2188972679911251E-2</v>
      </c>
      <c r="L18" s="163">
        <f t="shared" si="9"/>
        <v>92.938000000000002</v>
      </c>
      <c r="M18" s="676">
        <f t="shared" si="14"/>
        <v>0.93502925978174944</v>
      </c>
      <c r="N18" s="144">
        <f t="shared" si="6"/>
        <v>115.24335048670099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490" t="s">
        <v>16</v>
      </c>
      <c r="B19" s="678">
        <f>SUM(B14:B18)</f>
        <v>5610.4849999999997</v>
      </c>
      <c r="C19" s="679">
        <f>SUM(C14:C18)</f>
        <v>83.799080022398257</v>
      </c>
      <c r="D19" s="552">
        <f>SUM(D14:D18)</f>
        <v>1921.425</v>
      </c>
      <c r="E19" s="679">
        <f>SUM(E14:E18)</f>
        <v>81.473206713840852</v>
      </c>
      <c r="F19" s="552">
        <f t="shared" ref="F19:L19" si="15">SUM(F14:F18)</f>
        <v>7531.91</v>
      </c>
      <c r="G19" s="679">
        <f>SUM(G14:G18)</f>
        <v>83.193212801878616</v>
      </c>
      <c r="H19" s="678">
        <f t="shared" si="15"/>
        <v>6258.7219999999998</v>
      </c>
      <c r="I19" s="679">
        <f t="shared" si="15"/>
        <v>85.444750190993005</v>
      </c>
      <c r="J19" s="552">
        <f t="shared" si="15"/>
        <v>2144.1889999999999</v>
      </c>
      <c r="K19" s="679">
        <f>SUM(K14:K18)</f>
        <v>82.004974937908898</v>
      </c>
      <c r="L19" s="552">
        <f t="shared" si="15"/>
        <v>8402.9110000000001</v>
      </c>
      <c r="M19" s="680">
        <f>SUM(M14:M18)</f>
        <v>84.539883065505165</v>
      </c>
      <c r="N19" s="556">
        <f t="shared" si="6"/>
        <v>111.56414508404906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213" customFormat="1" ht="14.1" customHeight="1" thickBot="1" x14ac:dyDescent="0.35">
      <c r="A20" s="170" t="s">
        <v>94</v>
      </c>
      <c r="B20" s="681">
        <f>B19+B12</f>
        <v>6695.1629999999996</v>
      </c>
      <c r="C20" s="691">
        <f>C19+C12</f>
        <v>100</v>
      </c>
      <c r="D20" s="683">
        <f>D19+D12</f>
        <v>2358.3519999999999</v>
      </c>
      <c r="E20" s="691">
        <f>E19+E12</f>
        <v>100</v>
      </c>
      <c r="F20" s="683">
        <f t="shared" ref="F20:L20" si="16">F19+F12</f>
        <v>9053.5149999999994</v>
      </c>
      <c r="G20" s="691">
        <f>G19+G12</f>
        <v>100</v>
      </c>
      <c r="H20" s="681">
        <f t="shared" si="16"/>
        <v>7324.8760000000002</v>
      </c>
      <c r="I20" s="691">
        <f t="shared" si="16"/>
        <v>100.00000000000001</v>
      </c>
      <c r="J20" s="683">
        <f t="shared" si="16"/>
        <v>2614.7059999999997</v>
      </c>
      <c r="K20" s="691">
        <f t="shared" si="16"/>
        <v>100.00000000000001</v>
      </c>
      <c r="L20" s="683">
        <f t="shared" si="16"/>
        <v>9939.5820000000003</v>
      </c>
      <c r="M20" s="692">
        <f>M19+M12</f>
        <v>100</v>
      </c>
      <c r="N20" s="643">
        <f t="shared" si="6"/>
        <v>109.78699433314024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4" customWidth="1"/>
    <col min="2" max="2" width="8.5546875" style="34" bestFit="1" customWidth="1"/>
    <col min="3" max="3" width="5.6640625" style="34" customWidth="1"/>
    <col min="4" max="4" width="6.88671875" style="34" bestFit="1" customWidth="1"/>
    <col min="5" max="5" width="5.6640625" style="34" customWidth="1"/>
    <col min="6" max="6" width="8.5546875" style="34" bestFit="1" customWidth="1"/>
    <col min="7" max="7" width="5.6640625" style="34" customWidth="1"/>
    <col min="8" max="8" width="8.5546875" style="34" bestFit="1" customWidth="1"/>
    <col min="9" max="9" width="5.6640625" style="34" customWidth="1"/>
    <col min="10" max="10" width="7.44140625" style="34" bestFit="1" customWidth="1"/>
    <col min="11" max="11" width="5.6640625" style="34" customWidth="1"/>
    <col min="12" max="12" width="8.5546875" style="34" bestFit="1" customWidth="1"/>
    <col min="13" max="13" width="5.6640625" style="34" customWidth="1"/>
    <col min="14" max="14" width="8.5546875" style="640" customWidth="1"/>
    <col min="15" max="16384" width="8.6640625" style="34"/>
  </cols>
  <sheetData>
    <row r="1" spans="1:173" ht="14.4" hidden="1" customHeight="1" thickBot="1" x14ac:dyDescent="0.35">
      <c r="A1" s="220"/>
      <c r="B1" s="221"/>
      <c r="C1" s="221"/>
      <c r="D1" s="221"/>
      <c r="E1" s="221"/>
      <c r="F1" s="221"/>
      <c r="G1" s="221"/>
      <c r="H1" s="221"/>
      <c r="I1" s="221"/>
      <c r="J1" s="22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0"/>
      <c r="B2" s="221"/>
      <c r="C2" s="221"/>
      <c r="D2" s="221"/>
      <c r="E2" s="221"/>
      <c r="F2" s="221"/>
      <c r="G2" s="221"/>
      <c r="H2" s="221"/>
      <c r="I2" s="221"/>
      <c r="J2" s="221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177" t="s">
        <v>922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59" t="s">
        <v>695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72" t="s">
        <v>10</v>
      </c>
      <c r="B4" s="867" t="s">
        <v>958</v>
      </c>
      <c r="C4" s="868"/>
      <c r="D4" s="868"/>
      <c r="E4" s="868"/>
      <c r="F4" s="868"/>
      <c r="G4" s="869"/>
      <c r="H4" s="867" t="s">
        <v>961</v>
      </c>
      <c r="I4" s="868"/>
      <c r="J4" s="868"/>
      <c r="K4" s="868"/>
      <c r="L4" s="868"/>
      <c r="M4" s="869"/>
      <c r="N4" s="870" t="str">
        <f>IF(LEN(H4)&gt;5,"Индекс " &amp; MID(H4,1,2) &amp; "-" &amp; MID(H4,4,5) &amp; "/" &amp; B4,"Индекс " &amp; H4 &amp; "/" &amp; B4)</f>
        <v>Индекс 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96" x14ac:dyDescent="0.3">
      <c r="A5" s="873"/>
      <c r="B5" s="690" t="s">
        <v>923</v>
      </c>
      <c r="C5" s="224" t="s">
        <v>3</v>
      </c>
      <c r="D5" s="224" t="s">
        <v>926</v>
      </c>
      <c r="E5" s="224" t="s">
        <v>3</v>
      </c>
      <c r="F5" s="224" t="s">
        <v>16</v>
      </c>
      <c r="G5" s="226" t="s">
        <v>3</v>
      </c>
      <c r="H5" s="690" t="s">
        <v>923</v>
      </c>
      <c r="I5" s="224" t="s">
        <v>3</v>
      </c>
      <c r="J5" s="224" t="s">
        <v>926</v>
      </c>
      <c r="K5" s="224" t="s">
        <v>3</v>
      </c>
      <c r="L5" s="224" t="s">
        <v>16</v>
      </c>
      <c r="M5" s="226" t="s">
        <v>3</v>
      </c>
      <c r="N5" s="871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223" t="s">
        <v>795</v>
      </c>
      <c r="B6" s="694"/>
      <c r="C6" s="695"/>
      <c r="D6" s="696"/>
      <c r="E6" s="695"/>
      <c r="F6" s="696"/>
      <c r="G6" s="697"/>
      <c r="H6" s="694"/>
      <c r="I6" s="695"/>
      <c r="J6" s="696"/>
      <c r="K6" s="695"/>
      <c r="L6" s="696"/>
      <c r="M6" s="697"/>
      <c r="N6" s="64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222" t="s">
        <v>708</v>
      </c>
      <c r="B7" s="698">
        <v>189.81</v>
      </c>
      <c r="C7" s="699">
        <f>IF(B$16&gt;0,B7*100/B$16,0)</f>
        <v>5.7461364717250794</v>
      </c>
      <c r="D7" s="700">
        <v>39.112000000000002</v>
      </c>
      <c r="E7" s="699">
        <f>IF(D$16&gt;0,D7*100/D$16,0)</f>
        <v>3.4865674622099836</v>
      </c>
      <c r="F7" s="696">
        <f>B7+D7</f>
        <v>228.922</v>
      </c>
      <c r="G7" s="701">
        <f>IF(F$16&gt;0,F7*100/F$16,0)</f>
        <v>5.1733153990889154</v>
      </c>
      <c r="H7" s="698">
        <v>189.411</v>
      </c>
      <c r="I7" s="699">
        <f>IF(H$16&gt;0,H7*100/H$16,0)</f>
        <v>5.0621114941475067</v>
      </c>
      <c r="J7" s="700">
        <v>40.014000000000003</v>
      </c>
      <c r="K7" s="699">
        <f>IF(J$16&gt;0,J7*100/J$16,0)</f>
        <v>3.1028129565354945</v>
      </c>
      <c r="L7" s="696">
        <f>H7+J7</f>
        <v>229.42500000000001</v>
      </c>
      <c r="M7" s="701">
        <f>IF(L$16&gt;0,L7*100/L$16,0)</f>
        <v>4.5599157123654663</v>
      </c>
      <c r="N7" s="646">
        <f>IF(F7&lt;&gt;0,L7*100/F7,"-")</f>
        <v>100.21972549602047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222" t="s">
        <v>709</v>
      </c>
      <c r="B8" s="698">
        <v>14.161</v>
      </c>
      <c r="C8" s="699">
        <f t="shared" ref="C8:C9" si="0">IF(B$16&gt;0,B8*100/B$16,0)</f>
        <v>0.42869732140613687</v>
      </c>
      <c r="D8" s="700">
        <v>0</v>
      </c>
      <c r="E8" s="699">
        <f>IF(D$16&gt;0,D8*100/D$16,0)</f>
        <v>0</v>
      </c>
      <c r="F8" s="696">
        <f t="shared" ref="F8:F9" si="1">B8+D8</f>
        <v>14.161</v>
      </c>
      <c r="G8" s="701">
        <f>IF(F$16&gt;0,F8*100/F$16,0)</f>
        <v>0.32001869355718593</v>
      </c>
      <c r="H8" s="698">
        <v>14.561</v>
      </c>
      <c r="I8" s="699">
        <f t="shared" ref="I8" si="2">IF(H$16&gt;0,H8*100/H$16,0)</f>
        <v>0.38915060617536384</v>
      </c>
      <c r="J8" s="700">
        <v>0</v>
      </c>
      <c r="K8" s="699">
        <f t="shared" ref="K8" si="3">IF(J$16&gt;0,J8*100/J$16,0)</f>
        <v>0</v>
      </c>
      <c r="L8" s="696">
        <f t="shared" ref="L8:L9" si="4">H8+J8</f>
        <v>14.561</v>
      </c>
      <c r="M8" s="701">
        <f t="shared" ref="M8:M9" si="5">IF(L$16&gt;0,L8*100/L$16,0)</f>
        <v>0.28940583061023667</v>
      </c>
      <c r="N8" s="646">
        <f>IF(F8&lt;&gt;0,L8*100/F8,"-")</f>
        <v>102.82465927547489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222" t="s">
        <v>776</v>
      </c>
      <c r="B9" s="698">
        <v>37.429000000000002</v>
      </c>
      <c r="C9" s="699">
        <f t="shared" si="0"/>
        <v>1.1330917338401454</v>
      </c>
      <c r="D9" s="700">
        <v>1.99</v>
      </c>
      <c r="E9" s="699">
        <f>IF(D$16&gt;0,D9*100/D$16,0)</f>
        <v>0.17739489798010499</v>
      </c>
      <c r="F9" s="696">
        <f t="shared" si="1"/>
        <v>39.419000000000004</v>
      </c>
      <c r="G9" s="701">
        <f>IF(F$16&gt;0,F9*100/F$16,0)</f>
        <v>0.89081398780670262</v>
      </c>
      <c r="H9" s="698">
        <v>43.08</v>
      </c>
      <c r="I9" s="699">
        <f t="shared" ref="I9" si="6">IF(H$16&gt;0,H9*100/H$16,0)</f>
        <v>1.1513363171509288</v>
      </c>
      <c r="J9" s="700">
        <v>3.327</v>
      </c>
      <c r="K9" s="699">
        <f t="shared" ref="K9" si="7">IF(J$16&gt;0,J9*100/J$16,0)</f>
        <v>0.25798617249946493</v>
      </c>
      <c r="L9" s="696">
        <f t="shared" si="4"/>
        <v>46.406999999999996</v>
      </c>
      <c r="M9" s="701">
        <f t="shared" si="5"/>
        <v>0.9223581059768734</v>
      </c>
      <c r="N9" s="646">
        <f>IF(F9&lt;&gt;0,L9*100/F9,"-")</f>
        <v>117.72749181866611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346" t="s">
        <v>16</v>
      </c>
      <c r="B10" s="702">
        <f t="shared" ref="B10:M10" si="8">SUM(B7:B9)</f>
        <v>241.4</v>
      </c>
      <c r="C10" s="703">
        <f t="shared" si="8"/>
        <v>7.3079255269713617</v>
      </c>
      <c r="D10" s="704">
        <f t="shared" si="8"/>
        <v>41.102000000000004</v>
      </c>
      <c r="E10" s="703">
        <f t="shared" si="8"/>
        <v>3.6639623601900886</v>
      </c>
      <c r="F10" s="704">
        <f t="shared" si="8"/>
        <v>282.50200000000001</v>
      </c>
      <c r="G10" s="705">
        <f>SUM(G7:G9)</f>
        <v>6.3841480804528041</v>
      </c>
      <c r="H10" s="702">
        <f t="shared" si="8"/>
        <v>247.05200000000002</v>
      </c>
      <c r="I10" s="703">
        <f t="shared" si="8"/>
        <v>6.6025984174737999</v>
      </c>
      <c r="J10" s="704">
        <f t="shared" si="8"/>
        <v>43.341000000000001</v>
      </c>
      <c r="K10" s="703">
        <f t="shared" si="8"/>
        <v>3.3607991290349593</v>
      </c>
      <c r="L10" s="704">
        <f t="shared" si="8"/>
        <v>290.39300000000003</v>
      </c>
      <c r="M10" s="705">
        <f t="shared" si="8"/>
        <v>5.7716796489525768</v>
      </c>
      <c r="N10" s="647">
        <f>IF(F10&lt;&gt;0,L10*100/F10,"-")</f>
        <v>102.79325456102967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223" t="s">
        <v>796</v>
      </c>
      <c r="B11" s="706"/>
      <c r="C11" s="699"/>
      <c r="D11" s="707"/>
      <c r="E11" s="699"/>
      <c r="F11" s="696"/>
      <c r="G11" s="701"/>
      <c r="H11" s="706"/>
      <c r="I11" s="699"/>
      <c r="J11" s="707"/>
      <c r="K11" s="699"/>
      <c r="L11" s="696"/>
      <c r="M11" s="701"/>
      <c r="N11" s="646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222" t="s">
        <v>708</v>
      </c>
      <c r="B12" s="698">
        <v>1969.136</v>
      </c>
      <c r="C12" s="699">
        <f>IF(B$16&gt;0,B12*100/B$16,0)</f>
        <v>59.611844409603478</v>
      </c>
      <c r="D12" s="700">
        <v>809.01499999999999</v>
      </c>
      <c r="E12" s="699">
        <f>IF(D$16&gt;0,D12*100/D$16,0)</f>
        <v>72.118157482097814</v>
      </c>
      <c r="F12" s="696">
        <f t="shared" ref="F12:F14" si="9">B12+D12</f>
        <v>2778.1509999999998</v>
      </c>
      <c r="G12" s="701">
        <f>IF(F$16&gt;0,F12*100/F$16,0)</f>
        <v>62.782307289357369</v>
      </c>
      <c r="H12" s="698">
        <v>2208.2060000000001</v>
      </c>
      <c r="I12" s="699">
        <f>IF(H$16&gt;0,H12*100/H$16,0)</f>
        <v>59.015500546670943</v>
      </c>
      <c r="J12" s="700">
        <v>887.81200000000001</v>
      </c>
      <c r="K12" s="699">
        <f>IF(J$16&gt;0,J12*100/J$16,0)</f>
        <v>68.843769095009009</v>
      </c>
      <c r="L12" s="696">
        <f t="shared" ref="L12:L14" si="10">H12+J12</f>
        <v>3096.018</v>
      </c>
      <c r="M12" s="701">
        <f>IF(L$16&gt;0,L12*100/L$16,0)</f>
        <v>61.534624055644784</v>
      </c>
      <c r="N12" s="646">
        <f>IF(F12&lt;&gt;0,L12*100/F12,"-")</f>
        <v>111.44167469658777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222" t="s">
        <v>709</v>
      </c>
      <c r="B13" s="698">
        <v>968.34100000000001</v>
      </c>
      <c r="C13" s="699">
        <f t="shared" ref="C13:E14" si="11">IF(B$16&gt;0,B13*100/B$16,0)</f>
        <v>29.314680665753833</v>
      </c>
      <c r="D13" s="700">
        <v>254.51</v>
      </c>
      <c r="E13" s="699">
        <f t="shared" si="11"/>
        <v>22.687826876842475</v>
      </c>
      <c r="F13" s="696">
        <f t="shared" si="9"/>
        <v>1222.8510000000001</v>
      </c>
      <c r="G13" s="701">
        <f>IF(F$16&gt;0,F13*100/F$16,0)</f>
        <v>27.634713610274588</v>
      </c>
      <c r="H13" s="698">
        <v>1147.6400000000001</v>
      </c>
      <c r="I13" s="699">
        <f t="shared" ref="I13" si="12">IF(H$16&gt;0,H13*100/H$16,0)</f>
        <v>30.671300162838723</v>
      </c>
      <c r="J13" s="700">
        <v>335.14600000000002</v>
      </c>
      <c r="K13" s="699">
        <f t="shared" ref="K13" si="13">IF(J$16&gt;0,J13*100/J$16,0)</f>
        <v>25.988287877518989</v>
      </c>
      <c r="L13" s="696">
        <f t="shared" si="10"/>
        <v>1482.7860000000001</v>
      </c>
      <c r="M13" s="701">
        <f t="shared" ref="M13:M14" si="14">IF(L$16&gt;0,L13*100/L$16,0)</f>
        <v>29.47097822589317</v>
      </c>
      <c r="N13" s="646">
        <f>IF(F13&lt;&gt;0,L13*100/F13,"-")</f>
        <v>121.25647360144448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222" t="s">
        <v>776</v>
      </c>
      <c r="B14" s="698">
        <v>124.386</v>
      </c>
      <c r="C14" s="699">
        <f t="shared" si="11"/>
        <v>3.7655493976713332</v>
      </c>
      <c r="D14" s="700">
        <v>17.164000000000001</v>
      </c>
      <c r="E14" s="699">
        <f t="shared" si="11"/>
        <v>1.5300532808696092</v>
      </c>
      <c r="F14" s="696">
        <f t="shared" si="9"/>
        <v>141.55000000000001</v>
      </c>
      <c r="G14" s="701">
        <f>IF(F$16&gt;0,F14*100/F$16,0)</f>
        <v>3.1988310199152377</v>
      </c>
      <c r="H14" s="698">
        <v>138.84100000000001</v>
      </c>
      <c r="I14" s="699">
        <f t="shared" ref="I14" si="15">IF(H$16&gt;0,H14*100/H$16,0)</f>
        <v>3.7106008730165301</v>
      </c>
      <c r="J14" s="700">
        <v>23.305</v>
      </c>
      <c r="K14" s="699">
        <f t="shared" ref="K14" si="16">IF(J$16&gt;0,J14*100/J$16,0)</f>
        <v>1.8071438984370396</v>
      </c>
      <c r="L14" s="696">
        <f t="shared" si="10"/>
        <v>162.14600000000002</v>
      </c>
      <c r="M14" s="701">
        <f t="shared" si="14"/>
        <v>3.2227180695094733</v>
      </c>
      <c r="N14" s="646">
        <f>IF(F14&lt;&gt;0,L14*100/F14,"-")</f>
        <v>114.5503355704698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346" t="s">
        <v>16</v>
      </c>
      <c r="B15" s="702">
        <f>SUM(B12:B14)</f>
        <v>3061.8629999999998</v>
      </c>
      <c r="C15" s="703">
        <f t="shared" ref="C15:M15" si="17">SUM(C12:C14)</f>
        <v>92.692074473028654</v>
      </c>
      <c r="D15" s="704">
        <f>SUM(D12:D14)</f>
        <v>1080.6890000000001</v>
      </c>
      <c r="E15" s="703">
        <f t="shared" si="17"/>
        <v>96.336037639809902</v>
      </c>
      <c r="F15" s="704">
        <f t="shared" si="17"/>
        <v>4142.5519999999997</v>
      </c>
      <c r="G15" s="705">
        <f>SUM(G12:G14)</f>
        <v>93.615851919547183</v>
      </c>
      <c r="H15" s="702">
        <f>SUM(H12:H14)</f>
        <v>3494.6870000000004</v>
      </c>
      <c r="I15" s="703">
        <f>SUM(I12:I14)</f>
        <v>93.3974015825262</v>
      </c>
      <c r="J15" s="704">
        <f>SUM(J12:J14)</f>
        <v>1246.2630000000001</v>
      </c>
      <c r="K15" s="703">
        <f t="shared" si="17"/>
        <v>96.639200870965027</v>
      </c>
      <c r="L15" s="704">
        <f t="shared" si="17"/>
        <v>4740.95</v>
      </c>
      <c r="M15" s="705">
        <f t="shared" si="17"/>
        <v>94.228320351047429</v>
      </c>
      <c r="N15" s="647">
        <f>IF(F15&lt;&gt;0,L15*100/F15,"-")</f>
        <v>114.44515361545251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213" customFormat="1" ht="14.1" customHeight="1" thickBot="1" x14ac:dyDescent="0.35">
      <c r="A16" s="693" t="s">
        <v>94</v>
      </c>
      <c r="B16" s="708">
        <f>B15+B10</f>
        <v>3303.2629999999999</v>
      </c>
      <c r="C16" s="709">
        <f t="shared" ref="C16:M16" si="18">C15+C10</f>
        <v>100.00000000000001</v>
      </c>
      <c r="D16" s="710">
        <f>D15+D10</f>
        <v>1121.7910000000002</v>
      </c>
      <c r="E16" s="709">
        <f t="shared" si="18"/>
        <v>99.999999999999986</v>
      </c>
      <c r="F16" s="710">
        <f t="shared" si="18"/>
        <v>4425.0540000000001</v>
      </c>
      <c r="G16" s="711">
        <f>G15+G10</f>
        <v>99.999999999999986</v>
      </c>
      <c r="H16" s="708">
        <f t="shared" si="18"/>
        <v>3741.7390000000005</v>
      </c>
      <c r="I16" s="709">
        <f t="shared" si="18"/>
        <v>100</v>
      </c>
      <c r="J16" s="710">
        <f t="shared" si="18"/>
        <v>1289.604</v>
      </c>
      <c r="K16" s="709">
        <f t="shared" si="18"/>
        <v>99.999999999999986</v>
      </c>
      <c r="L16" s="710">
        <f t="shared" si="18"/>
        <v>5031.3429999999998</v>
      </c>
      <c r="M16" s="711">
        <f t="shared" si="18"/>
        <v>100</v>
      </c>
      <c r="N16" s="648">
        <f>IF(F16&lt;&gt;0,L16*100/F16,"-")</f>
        <v>113.70127912563326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8.77734375" style="3" customWidth="1"/>
    <col min="3" max="3" width="5.6640625" style="3" customWidth="1"/>
    <col min="4" max="4" width="8.77734375" style="3" customWidth="1"/>
    <col min="5" max="5" width="5.6640625" style="3" customWidth="1"/>
    <col min="6" max="6" width="8.77734375" style="3" customWidth="1"/>
    <col min="7" max="7" width="5.6640625" style="3" customWidth="1"/>
    <col min="8" max="8" width="8.77734375" style="3" customWidth="1"/>
    <col min="9" max="9" width="5.6640625" style="3" customWidth="1"/>
    <col min="10" max="10" width="8.77734375" style="3" customWidth="1"/>
    <col min="11" max="11" width="5.6640625" style="3" customWidth="1"/>
    <col min="12" max="12" width="8.77734375" style="3" customWidth="1"/>
    <col min="13" max="13" width="5.6640625" style="3" customWidth="1"/>
    <col min="14" max="14" width="8.33203125" style="259" customWidth="1"/>
    <col min="15" max="16384" width="8.6640625" style="3"/>
  </cols>
  <sheetData>
    <row r="1" spans="1:173" ht="14.4" hidden="1" x14ac:dyDescent="0.3">
      <c r="A1" s="225"/>
      <c r="B1" s="212"/>
      <c r="C1" s="212"/>
      <c r="D1" s="212"/>
      <c r="E1" s="212"/>
      <c r="F1" s="212"/>
      <c r="G1" s="212"/>
      <c r="H1" s="212"/>
      <c r="I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5"/>
      <c r="B2" s="212"/>
      <c r="C2" s="212"/>
      <c r="D2" s="212"/>
      <c r="E2" s="212"/>
      <c r="F2" s="212"/>
      <c r="G2" s="212"/>
      <c r="H2" s="212"/>
      <c r="I2" s="21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177" t="s">
        <v>798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59" t="s">
        <v>695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32" t="s">
        <v>10</v>
      </c>
      <c r="B4" s="867" t="s">
        <v>958</v>
      </c>
      <c r="C4" s="868"/>
      <c r="D4" s="868"/>
      <c r="E4" s="868"/>
      <c r="F4" s="868"/>
      <c r="G4" s="869"/>
      <c r="H4" s="867" t="s">
        <v>961</v>
      </c>
      <c r="I4" s="868"/>
      <c r="J4" s="868"/>
      <c r="K4" s="868"/>
      <c r="L4" s="868"/>
      <c r="M4" s="869"/>
      <c r="N4" s="870" t="str">
        <f>IF(LEN(H4)&gt;5,"Индекс " &amp; MID(H4,1,2) &amp; "-" &amp; MID(H4,4,5) &amp; "/" &amp; B4,"Индекс " &amp; H4 &amp; "/" &amp; B4)</f>
        <v>Индекс 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74"/>
      <c r="B5" s="690" t="s">
        <v>923</v>
      </c>
      <c r="C5" s="224" t="s">
        <v>3</v>
      </c>
      <c r="D5" s="224" t="s">
        <v>926</v>
      </c>
      <c r="E5" s="224" t="s">
        <v>3</v>
      </c>
      <c r="F5" s="224" t="s">
        <v>16</v>
      </c>
      <c r="G5" s="226" t="s">
        <v>3</v>
      </c>
      <c r="H5" s="690" t="s">
        <v>923</v>
      </c>
      <c r="I5" s="224" t="s">
        <v>3</v>
      </c>
      <c r="J5" s="224" t="s">
        <v>926</v>
      </c>
      <c r="K5" s="224" t="s">
        <v>3</v>
      </c>
      <c r="L5" s="224" t="s">
        <v>16</v>
      </c>
      <c r="M5" s="347" t="s">
        <v>3</v>
      </c>
      <c r="N5" s="871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" t="s">
        <v>773</v>
      </c>
      <c r="B6" s="694"/>
      <c r="C6" s="695"/>
      <c r="D6" s="696"/>
      <c r="E6" s="695"/>
      <c r="F6" s="696"/>
      <c r="G6" s="697"/>
      <c r="H6" s="694"/>
      <c r="I6" s="695"/>
      <c r="J6" s="696"/>
      <c r="K6" s="695"/>
      <c r="L6" s="696"/>
      <c r="M6" s="697"/>
      <c r="N6" s="712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7" t="s">
        <v>710</v>
      </c>
      <c r="B7" s="698">
        <v>10.038</v>
      </c>
      <c r="C7" s="699">
        <f>IF(B$15&gt;0,B7*100/B$15,0)</f>
        <v>0.46494910016276464</v>
      </c>
      <c r="D7" s="700">
        <v>25.49</v>
      </c>
      <c r="E7" s="699">
        <f>IF(D$15&gt;0,D7*100/D$15,0)</f>
        <v>3.0054532056005896</v>
      </c>
      <c r="F7" s="696">
        <f>B7+D7</f>
        <v>35.527999999999999</v>
      </c>
      <c r="G7" s="701">
        <f>IF(F$15&gt;0,F7*100/F$15,0)</f>
        <v>1.1814819137958499</v>
      </c>
      <c r="H7" s="698">
        <v>25.888000000000002</v>
      </c>
      <c r="I7" s="699">
        <f>IF(H$15&gt;0,H7*100/H$15,0)</f>
        <v>1.0797387572744106</v>
      </c>
      <c r="J7" s="700">
        <v>8.4120000000000008</v>
      </c>
      <c r="K7" s="699">
        <f>IF(J$15&gt;0,J7*100/J$15,0)</f>
        <v>0.90663551139976684</v>
      </c>
      <c r="L7" s="696">
        <f>H7+J7</f>
        <v>34.300000000000004</v>
      </c>
      <c r="M7" s="701">
        <f>IF(L$15&gt;0,L7*100/L$15,0)</f>
        <v>1.0314415252343825</v>
      </c>
      <c r="N7" s="712">
        <f>IF(F7&lt;&gt;0,L7*100/F7,"-")</f>
        <v>96.543571267732503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7" t="s">
        <v>711</v>
      </c>
      <c r="B8" s="698">
        <v>2.004</v>
      </c>
      <c r="C8" s="699">
        <f t="shared" ref="C8:E12" si="0">IF(B$15&gt;0,B8*100/B$15,0)</f>
        <v>9.2823071999021747E-2</v>
      </c>
      <c r="D8" s="700">
        <v>0.32600000000000001</v>
      </c>
      <c r="E8" s="699">
        <f t="shared" si="0"/>
        <v>3.8437730287398678E-2</v>
      </c>
      <c r="F8" s="696">
        <f t="shared" ref="F8:F11" si="1">B8+D8</f>
        <v>2.33</v>
      </c>
      <c r="G8" s="701">
        <f t="shared" ref="G8:G14" si="2">IF(F$15&gt;0,F8*100/F$15,0)</f>
        <v>7.7484036791948041E-2</v>
      </c>
      <c r="H8" s="698">
        <v>3.1659999999999999</v>
      </c>
      <c r="I8" s="699">
        <f>IF(H$15&gt;0,H8*100/H$15,0)</f>
        <v>0.13204777910733867</v>
      </c>
      <c r="J8" s="700">
        <v>0.41299999999999998</v>
      </c>
      <c r="K8" s="699">
        <f>IF(J$15&gt;0,J8*100/J$15,0)</f>
        <v>4.4512656467915315E-2</v>
      </c>
      <c r="L8" s="696">
        <f t="shared" ref="L8:L11" si="3">H8+J8</f>
        <v>3.5789999999999997</v>
      </c>
      <c r="M8" s="701">
        <f t="shared" ref="M8:M14" si="4">IF(L$15&gt;0,L8*100/L$15,0)</f>
        <v>0.10762475856600158</v>
      </c>
      <c r="N8" s="712">
        <f t="shared" ref="N8:N15" si="5">IF(F8&lt;&gt;0,L8*100/F8,"-")</f>
        <v>153.60515021459227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7" t="s">
        <v>712</v>
      </c>
      <c r="B9" s="698">
        <v>39.017000000000003</v>
      </c>
      <c r="C9" s="699">
        <f t="shared" si="0"/>
        <v>1.8072244511905349</v>
      </c>
      <c r="D9" s="700">
        <v>18.102</v>
      </c>
      <c r="E9" s="699">
        <f t="shared" si="0"/>
        <v>2.1343551952837143</v>
      </c>
      <c r="F9" s="696">
        <f t="shared" si="1"/>
        <v>57.119</v>
      </c>
      <c r="G9" s="701">
        <f t="shared" si="2"/>
        <v>1.8994895697507641</v>
      </c>
      <c r="H9" s="698">
        <v>44.578000000000003</v>
      </c>
      <c r="I9" s="699">
        <f t="shared" ref="I9:K9" si="6">IF(H$15&gt;0,H9*100/H$15,0)</f>
        <v>1.8592627596484346</v>
      </c>
      <c r="J9" s="700">
        <v>18.736000000000001</v>
      </c>
      <c r="K9" s="699">
        <f t="shared" si="6"/>
        <v>2.0193441442684299</v>
      </c>
      <c r="L9" s="696">
        <f t="shared" si="3"/>
        <v>63.314000000000007</v>
      </c>
      <c r="M9" s="701">
        <f t="shared" si="4"/>
        <v>1.903926785092994</v>
      </c>
      <c r="N9" s="712">
        <f t="shared" si="5"/>
        <v>110.84577811236193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7" t="s">
        <v>713</v>
      </c>
      <c r="B10" s="694">
        <v>64.438999999999993</v>
      </c>
      <c r="C10" s="699">
        <f t="shared" si="0"/>
        <v>2.9847434813098612</v>
      </c>
      <c r="D10" s="696">
        <v>23.869</v>
      </c>
      <c r="E10" s="699">
        <f t="shared" si="0"/>
        <v>2.8143257184966841</v>
      </c>
      <c r="F10" s="714">
        <f t="shared" si="1"/>
        <v>88.307999999999993</v>
      </c>
      <c r="G10" s="701">
        <f t="shared" si="2"/>
        <v>2.9366782493662438</v>
      </c>
      <c r="H10" s="694">
        <v>64.444999999999993</v>
      </c>
      <c r="I10" s="699">
        <f t="shared" ref="I10:K10" si="7">IF(H$15&gt;0,H10*100/H$15,0)</f>
        <v>2.687877171374744</v>
      </c>
      <c r="J10" s="696">
        <v>24.158000000000001</v>
      </c>
      <c r="K10" s="699">
        <f t="shared" si="7"/>
        <v>2.6037209562999961</v>
      </c>
      <c r="L10" s="714">
        <f t="shared" si="3"/>
        <v>88.602999999999994</v>
      </c>
      <c r="M10" s="701">
        <f t="shared" si="4"/>
        <v>2.6643968938875213</v>
      </c>
      <c r="N10" s="712">
        <f t="shared" si="5"/>
        <v>100.33405806948407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7" t="s">
        <v>714</v>
      </c>
      <c r="B11" s="698">
        <v>0</v>
      </c>
      <c r="C11" s="699">
        <f t="shared" si="0"/>
        <v>0</v>
      </c>
      <c r="D11" s="700">
        <v>0</v>
      </c>
      <c r="E11" s="699">
        <f t="shared" si="0"/>
        <v>0</v>
      </c>
      <c r="F11" s="696">
        <f t="shared" si="1"/>
        <v>0</v>
      </c>
      <c r="G11" s="701">
        <f t="shared" si="2"/>
        <v>0</v>
      </c>
      <c r="H11" s="698">
        <v>0</v>
      </c>
      <c r="I11" s="699">
        <f t="shared" ref="I11:K11" si="8">IF(H$15&gt;0,H11*100/H$15,0)</f>
        <v>0</v>
      </c>
      <c r="J11" s="700">
        <v>0</v>
      </c>
      <c r="K11" s="699">
        <f t="shared" si="8"/>
        <v>0</v>
      </c>
      <c r="L11" s="696">
        <f t="shared" si="3"/>
        <v>0</v>
      </c>
      <c r="M11" s="701">
        <f t="shared" si="4"/>
        <v>0</v>
      </c>
      <c r="N11" s="712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47" t="s">
        <v>778</v>
      </c>
      <c r="B12" s="698">
        <v>2019.623</v>
      </c>
      <c r="C12" s="699">
        <f t="shared" si="0"/>
        <v>93.546712145648854</v>
      </c>
      <c r="D12" s="700">
        <v>753.976</v>
      </c>
      <c r="E12" s="699">
        <f t="shared" si="0"/>
        <v>88.89915991156964</v>
      </c>
      <c r="F12" s="696">
        <f t="shared" ref="F12:F14" si="9">B12+D12</f>
        <v>2773.5990000000002</v>
      </c>
      <c r="G12" s="701">
        <f t="shared" si="2"/>
        <v>92.235899983738335</v>
      </c>
      <c r="H12" s="698">
        <v>2234.556</v>
      </c>
      <c r="I12" s="699">
        <f t="shared" ref="I12:K12" si="10">IF(H$15&gt;0,H12*100/H$15,0)</f>
        <v>93.199038879020307</v>
      </c>
      <c r="J12" s="700">
        <v>841.29</v>
      </c>
      <c r="K12" s="699">
        <f t="shared" si="10"/>
        <v>90.673251234606482</v>
      </c>
      <c r="L12" s="696">
        <f t="shared" ref="L12:L14" si="11">H12+J12</f>
        <v>3075.846</v>
      </c>
      <c r="M12" s="701">
        <f t="shared" si="4"/>
        <v>92.494323312713519</v>
      </c>
      <c r="N12" s="712">
        <f t="shared" si="5"/>
        <v>110.89728544032499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47" t="s">
        <v>715</v>
      </c>
      <c r="B13" s="698">
        <v>4.6040000000000001</v>
      </c>
      <c r="C13" s="699">
        <f>IF(B$15&gt;0,B13*100/B$15,0)</f>
        <v>0.21325220732709391</v>
      </c>
      <c r="D13" s="700">
        <v>4.2999999999999997E-2</v>
      </c>
      <c r="E13" s="699">
        <f>IF(D$15&gt;0,D13*100/D$15,0)</f>
        <v>5.070007369196757E-3</v>
      </c>
      <c r="F13" s="696">
        <f t="shared" si="9"/>
        <v>4.6470000000000002</v>
      </c>
      <c r="G13" s="701">
        <f t="shared" si="2"/>
        <v>0.15453575921552901</v>
      </c>
      <c r="H13" s="698">
        <v>4.8140000000000001</v>
      </c>
      <c r="I13" s="699">
        <f>IF(H$15&gt;0,H13*100/H$15,0)</f>
        <v>0.20078269381640187</v>
      </c>
      <c r="J13" s="700">
        <v>3.6999999999999998E-2</v>
      </c>
      <c r="K13" s="699">
        <f>IF(J$15&gt;0,J13*100/J$15,0)</f>
        <v>3.9878166811449555E-3</v>
      </c>
      <c r="L13" s="696">
        <f t="shared" si="11"/>
        <v>4.851</v>
      </c>
      <c r="M13" s="701">
        <f t="shared" si="4"/>
        <v>0.14587530142600552</v>
      </c>
      <c r="N13" s="712">
        <f>IF(F13&lt;&gt;0,L13*100/F13,"-")</f>
        <v>104.38992898644287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147" t="s">
        <v>777</v>
      </c>
      <c r="B14" s="698">
        <v>19.221</v>
      </c>
      <c r="C14" s="699">
        <f>IF(B$15&gt;0,B14*100/B$15,0)</f>
        <v>0.89029554236187469</v>
      </c>
      <c r="D14" s="700">
        <v>26.318999999999999</v>
      </c>
      <c r="E14" s="699">
        <f>IF(D$15&gt;0,D14*100/D$15,0)</f>
        <v>3.1031982313927782</v>
      </c>
      <c r="F14" s="696">
        <f t="shared" si="9"/>
        <v>45.54</v>
      </c>
      <c r="G14" s="701">
        <f t="shared" si="2"/>
        <v>1.5144304873413366</v>
      </c>
      <c r="H14" s="698">
        <v>20.170000000000002</v>
      </c>
      <c r="I14" s="699">
        <f>IF(H$15&gt;0,H14*100/H$15,0)</f>
        <v>0.84125195975837697</v>
      </c>
      <c r="J14" s="700">
        <v>34.78</v>
      </c>
      <c r="K14" s="699">
        <f>IF(J$15&gt;0,J14*100/J$15,0)</f>
        <v>3.7485476802762587</v>
      </c>
      <c r="L14" s="696">
        <f t="shared" si="11"/>
        <v>54.95</v>
      </c>
      <c r="M14" s="701">
        <f t="shared" si="4"/>
        <v>1.6524114230795717</v>
      </c>
      <c r="N14" s="712">
        <f t="shared" si="5"/>
        <v>120.66315327184893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219" customFormat="1" ht="14.1" customHeight="1" thickBot="1" x14ac:dyDescent="0.35">
      <c r="A15" s="207" t="s">
        <v>95</v>
      </c>
      <c r="B15" s="708">
        <f>SUM(B7:B14)</f>
        <v>2158.9459999999999</v>
      </c>
      <c r="C15" s="709">
        <f>SUM(C7:C14)</f>
        <v>100</v>
      </c>
      <c r="D15" s="710">
        <f>SUM(D7:D14)</f>
        <v>848.125</v>
      </c>
      <c r="E15" s="709">
        <f t="shared" ref="E15:M15" si="12">SUM(E7:E14)</f>
        <v>100</v>
      </c>
      <c r="F15" s="710">
        <f>SUM(F7:F14)</f>
        <v>3007.0709999999999</v>
      </c>
      <c r="G15" s="711">
        <f t="shared" si="12"/>
        <v>100.00000000000001</v>
      </c>
      <c r="H15" s="708">
        <f t="shared" si="12"/>
        <v>2397.6169999999997</v>
      </c>
      <c r="I15" s="709">
        <f t="shared" si="12"/>
        <v>100.00000000000003</v>
      </c>
      <c r="J15" s="710">
        <f t="shared" si="12"/>
        <v>927.82600000000002</v>
      </c>
      <c r="K15" s="709">
        <f t="shared" si="12"/>
        <v>100</v>
      </c>
      <c r="L15" s="710">
        <f t="shared" si="12"/>
        <v>3325.4429999999998</v>
      </c>
      <c r="M15" s="711">
        <f t="shared" si="12"/>
        <v>99.999999999999986</v>
      </c>
      <c r="N15" s="713">
        <f t="shared" si="5"/>
        <v>110.58744539121291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7" customWidth="1"/>
    <col min="2" max="2" width="15" style="27" customWidth="1"/>
    <col min="3" max="3" width="56.109375" style="27" customWidth="1"/>
    <col min="4" max="4" width="13.5546875" style="27" customWidth="1"/>
    <col min="5" max="5" width="13.6640625" style="27" customWidth="1"/>
    <col min="6" max="7" width="9.109375" style="27"/>
    <col min="8" max="8" width="6.88671875" style="27" customWidth="1"/>
    <col min="9" max="9" width="4.6640625" style="27" customWidth="1"/>
    <col min="10" max="10" width="2.88671875" style="27" customWidth="1"/>
    <col min="11" max="16384" width="9.109375" style="27"/>
  </cols>
  <sheetData>
    <row r="1" spans="1:173" ht="25.5" customHeight="1" thickBot="1" x14ac:dyDescent="0.35">
      <c r="A1" s="828" t="s">
        <v>128</v>
      </c>
      <c r="B1" s="828"/>
      <c r="C1" s="828"/>
      <c r="D1" s="828"/>
      <c r="E1" s="828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829" t="s">
        <v>942</v>
      </c>
      <c r="B5" s="829"/>
      <c r="C5" s="829"/>
      <c r="D5" s="829"/>
      <c r="E5" s="829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2"/>
      <c r="C6" s="37"/>
      <c r="H6" s="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4"/>
      <c r="C8" s="118" t="s">
        <v>960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466" t="s">
        <v>127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830" t="s">
        <v>786</v>
      </c>
      <c r="B12" s="831"/>
      <c r="C12" s="831"/>
      <c r="D12" s="831"/>
      <c r="E12" s="831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831"/>
      <c r="B13" s="831"/>
      <c r="C13" s="831"/>
      <c r="D13" s="831"/>
      <c r="E13" s="831"/>
    </row>
    <row r="14" spans="1:173" x14ac:dyDescent="0.3">
      <c r="A14" s="831"/>
      <c r="B14" s="831"/>
      <c r="C14" s="831"/>
      <c r="D14" s="831"/>
      <c r="E14" s="831"/>
    </row>
    <row r="15" spans="1:173" x14ac:dyDescent="0.3">
      <c r="A15" s="831"/>
      <c r="B15" s="831"/>
      <c r="C15" s="831"/>
      <c r="D15" s="831"/>
      <c r="E15" s="831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42.33203125" style="3" customWidth="1"/>
    <col min="2" max="6" width="8.5546875" style="3" customWidth="1"/>
    <col min="7" max="7" width="8.5546875" style="259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212"/>
      <c r="C1" s="212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235"/>
      <c r="D2" s="235"/>
      <c r="E2" s="235"/>
      <c r="F2" s="22"/>
      <c r="G2" s="641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877" t="s">
        <v>603</v>
      </c>
      <c r="B3" s="878"/>
      <c r="C3" s="878"/>
      <c r="D3" s="878"/>
      <c r="E3" s="878"/>
      <c r="F3" s="878"/>
      <c r="G3" s="159" t="s">
        <v>695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875" t="s">
        <v>10</v>
      </c>
      <c r="B4" s="834" t="s">
        <v>958</v>
      </c>
      <c r="C4" s="836"/>
      <c r="D4" s="834" t="s">
        <v>961</v>
      </c>
      <c r="E4" s="836"/>
      <c r="F4" s="848" t="s">
        <v>716</v>
      </c>
      <c r="G4" s="854" t="s">
        <v>717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876"/>
      <c r="B5" s="236" t="s">
        <v>92</v>
      </c>
      <c r="C5" s="237" t="s">
        <v>93</v>
      </c>
      <c r="D5" s="236" t="s">
        <v>92</v>
      </c>
      <c r="E5" s="237" t="s">
        <v>93</v>
      </c>
      <c r="F5" s="842"/>
      <c r="G5" s="85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227" t="s">
        <v>940</v>
      </c>
      <c r="B6" s="194">
        <v>8354.1749999999993</v>
      </c>
      <c r="C6" s="715">
        <v>6695.1629999999996</v>
      </c>
      <c r="D6" s="194">
        <v>9348.5310000000009</v>
      </c>
      <c r="E6" s="715">
        <v>7324.8760000000002</v>
      </c>
      <c r="F6" s="144">
        <f>IF(B6&gt;0,D6*100/B6,"-")</f>
        <v>111.90250383790143</v>
      </c>
      <c r="G6" s="144">
        <f>IF(C6&gt;0,E6*100/C6,"-")</f>
        <v>109.40549169601995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227" t="s">
        <v>96</v>
      </c>
      <c r="B7" s="194">
        <v>1333.143</v>
      </c>
      <c r="C7" s="715">
        <v>2358.3519999999999</v>
      </c>
      <c r="D7" s="194">
        <v>1473.6389999999999</v>
      </c>
      <c r="E7" s="715">
        <v>2614.7060000000001</v>
      </c>
      <c r="F7" s="649">
        <f t="shared" ref="F7:G10" si="0">IF(B7&gt;0,D7*100/B7,"-")</f>
        <v>110.53870440005311</v>
      </c>
      <c r="G7" s="144">
        <f t="shared" si="0"/>
        <v>110.87004823707403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227" t="s">
        <v>779</v>
      </c>
      <c r="B8" s="194">
        <f>B6+B7</f>
        <v>9687.3179999999993</v>
      </c>
      <c r="C8" s="715">
        <f t="shared" ref="C8:E8" si="1">C6+C7</f>
        <v>9053.5149999999994</v>
      </c>
      <c r="D8" s="194">
        <f t="shared" si="1"/>
        <v>10822.17</v>
      </c>
      <c r="E8" s="715">
        <f t="shared" si="1"/>
        <v>9939.5820000000003</v>
      </c>
      <c r="F8" s="144">
        <f t="shared" si="0"/>
        <v>111.71482137780551</v>
      </c>
      <c r="G8" s="144">
        <f t="shared" si="0"/>
        <v>109.78699433314024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2" customHeight="1" x14ac:dyDescent="0.3">
      <c r="A9" s="227" t="s">
        <v>941</v>
      </c>
      <c r="B9" s="194">
        <v>592.471</v>
      </c>
      <c r="C9" s="715">
        <v>277.07299999999998</v>
      </c>
      <c r="D9" s="194">
        <v>840.39800000000002</v>
      </c>
      <c r="E9" s="715">
        <v>332.69</v>
      </c>
      <c r="F9" s="649">
        <f t="shared" si="0"/>
        <v>141.84626758102928</v>
      </c>
      <c r="G9" s="144">
        <f t="shared" si="0"/>
        <v>120.07304934078745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219" customFormat="1" ht="12" customHeight="1" thickBot="1" x14ac:dyDescent="0.35">
      <c r="A10" s="228" t="s">
        <v>121</v>
      </c>
      <c r="B10" s="557">
        <f>B8-B9</f>
        <v>9094.8469999999998</v>
      </c>
      <c r="C10" s="716">
        <f t="shared" ref="C10:E10" si="2">C8-C9</f>
        <v>8776.4419999999991</v>
      </c>
      <c r="D10" s="557">
        <f t="shared" si="2"/>
        <v>9981.7720000000008</v>
      </c>
      <c r="E10" s="716">
        <f t="shared" si="2"/>
        <v>9606.8919999999998</v>
      </c>
      <c r="F10" s="650">
        <f t="shared" si="0"/>
        <v>109.75195074749472</v>
      </c>
      <c r="G10" s="191">
        <f t="shared" si="0"/>
        <v>109.46226272560111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238"/>
      <c r="B18" s="238"/>
      <c r="C18" s="238"/>
      <c r="D18" s="238"/>
      <c r="E18" s="238"/>
      <c r="F18" s="238"/>
      <c r="G18" s="238"/>
    </row>
    <row r="19" spans="1:7" x14ac:dyDescent="0.25">
      <c r="A19" s="25"/>
      <c r="B19" s="20"/>
      <c r="C19" s="20"/>
      <c r="D19" s="20"/>
      <c r="E19" s="20"/>
      <c r="F19" s="20"/>
      <c r="G19" s="20"/>
    </row>
    <row r="20" spans="1:7" x14ac:dyDescent="0.25">
      <c r="A20" s="25"/>
      <c r="B20" s="230"/>
      <c r="C20" s="230"/>
      <c r="D20" s="230"/>
      <c r="E20" s="230"/>
      <c r="F20" s="229"/>
      <c r="G20" s="20"/>
    </row>
    <row r="21" spans="1:7" x14ac:dyDescent="0.25">
      <c r="A21" s="25"/>
      <c r="B21" s="20"/>
      <c r="C21" s="20"/>
      <c r="D21" s="20"/>
      <c r="E21" s="20"/>
      <c r="F21" s="20"/>
      <c r="G21" s="20"/>
    </row>
    <row r="22" spans="1:7" x14ac:dyDescent="0.25">
      <c r="A22" s="25"/>
      <c r="B22" s="230"/>
      <c r="C22" s="230"/>
      <c r="D22" s="230"/>
      <c r="E22" s="230"/>
      <c r="F22" s="229"/>
      <c r="G22" s="20"/>
    </row>
    <row r="23" spans="1:7" x14ac:dyDescent="0.25">
      <c r="A23" s="26"/>
      <c r="B23" s="231"/>
      <c r="C23" s="231"/>
      <c r="D23" s="231"/>
      <c r="E23" s="231"/>
      <c r="F23" s="232"/>
      <c r="G23" s="233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/>
  <dimension ref="A1:FY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2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234"/>
      <c r="C1" s="234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211" t="s">
        <v>651</v>
      </c>
      <c r="C4" s="142"/>
      <c r="D4" s="142"/>
      <c r="E4" s="142"/>
      <c r="F4" s="343" t="s">
        <v>695</v>
      </c>
    </row>
    <row r="5" spans="2:181" ht="22.8" customHeight="1" x14ac:dyDescent="0.25">
      <c r="B5" s="252" t="s">
        <v>10</v>
      </c>
      <c r="C5" s="510" t="s">
        <v>952</v>
      </c>
      <c r="D5" s="315" t="s">
        <v>958</v>
      </c>
      <c r="E5" s="511" t="s">
        <v>961</v>
      </c>
      <c r="F5" s="717" t="str">
        <f>IF(LEN(E5)&gt;5,"Индекс " &amp; MID(E5,1,2) &amp; "-" &amp; MID(E5,4,5) &amp; "/" &amp; D5,"Индекс " &amp; E5 &amp; "/" &amp; D5)</f>
        <v>Индекс 2025./2024.</v>
      </c>
    </row>
    <row r="6" spans="2:181" ht="12" customHeight="1" x14ac:dyDescent="0.25">
      <c r="B6" s="239" t="s">
        <v>888</v>
      </c>
      <c r="C6" s="512"/>
      <c r="D6" s="458"/>
      <c r="E6" s="513"/>
      <c r="F6" s="240" t="str">
        <f>IF(D6&gt;0,E6*100/D6,"-")</f>
        <v>-</v>
      </c>
    </row>
    <row r="7" spans="2:181" ht="12" customHeight="1" x14ac:dyDescent="0.25">
      <c r="B7" s="527" t="s">
        <v>927</v>
      </c>
      <c r="C7" s="512">
        <v>2836.4270000000001</v>
      </c>
      <c r="D7" s="320">
        <v>3141.4479999999999</v>
      </c>
      <c r="E7" s="514">
        <v>3559.8180000000002</v>
      </c>
      <c r="F7" s="240">
        <f t="shared" ref="F7" si="0">IF(D7&gt;0,E7*100/D7,"-")</f>
        <v>113.31774391936459</v>
      </c>
    </row>
    <row r="8" spans="2:181" ht="12" customHeight="1" x14ac:dyDescent="0.25">
      <c r="B8" s="527" t="s">
        <v>928</v>
      </c>
      <c r="C8" s="512">
        <v>97.466999999999999</v>
      </c>
      <c r="D8" s="320">
        <v>98.73</v>
      </c>
      <c r="E8" s="514">
        <v>101.878</v>
      </c>
      <c r="F8" s="240">
        <f>IF(D8&gt;0,E8*100/D8,"-")</f>
        <v>103.18849387217664</v>
      </c>
    </row>
    <row r="9" spans="2:181" ht="12" customHeight="1" x14ac:dyDescent="0.25">
      <c r="B9" s="527" t="s">
        <v>929</v>
      </c>
      <c r="C9" s="536">
        <v>985.399</v>
      </c>
      <c r="D9" s="537">
        <v>1102.6369999999999</v>
      </c>
      <c r="E9" s="538">
        <v>1262.972</v>
      </c>
      <c r="F9" s="240">
        <f t="shared" ref="F9" si="1">IF(D9&gt;0,E9*100/D9,"-")</f>
        <v>114.54105022777215</v>
      </c>
    </row>
    <row r="10" spans="2:181" ht="12" customHeight="1" thickBot="1" x14ac:dyDescent="0.3">
      <c r="B10" s="515" t="s">
        <v>148</v>
      </c>
      <c r="C10" s="516">
        <f>C7-C8+C9</f>
        <v>3724.3589999999999</v>
      </c>
      <c r="D10" s="517">
        <f>D7-D8+D9</f>
        <v>4145.3549999999996</v>
      </c>
      <c r="E10" s="518">
        <f>E7-E8+E9</f>
        <v>4720.9120000000003</v>
      </c>
      <c r="F10" s="519">
        <f>IF(D10&gt;0,E10*100/D10,"-")</f>
        <v>113.88438384649808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8.88671875" style="3" customWidth="1"/>
    <col min="7" max="8" width="8.6640625" style="3" customWidth="1"/>
    <col min="9" max="14" width="5.77734375" style="3" customWidth="1"/>
    <col min="15" max="16384" width="8.6640625" style="3"/>
  </cols>
  <sheetData>
    <row r="1" spans="1:179" ht="14.4" x14ac:dyDescent="0.3">
      <c r="A1" s="2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142" t="s">
        <v>939</v>
      </c>
      <c r="B2" s="142"/>
      <c r="C2" s="142"/>
      <c r="D2" s="142"/>
      <c r="E2" s="142"/>
      <c r="F2" s="343" t="s">
        <v>695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79" t="s">
        <v>10</v>
      </c>
      <c r="B3" s="881" t="s">
        <v>958</v>
      </c>
      <c r="C3" s="882"/>
      <c r="D3" s="881" t="s">
        <v>961</v>
      </c>
      <c r="E3" s="882"/>
      <c r="F3" s="883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2025./2024.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80"/>
      <c r="B4" s="570" t="s">
        <v>2</v>
      </c>
      <c r="C4" s="571" t="s">
        <v>3</v>
      </c>
      <c r="D4" s="570" t="s">
        <v>2</v>
      </c>
      <c r="E4" s="571" t="s">
        <v>3</v>
      </c>
      <c r="F4" s="88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72" t="s">
        <v>899</v>
      </c>
      <c r="B5" s="578"/>
      <c r="C5" s="573"/>
      <c r="D5" s="578"/>
      <c r="E5" s="573"/>
      <c r="F5" s="57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75" t="s">
        <v>100</v>
      </c>
      <c r="B6" s="242">
        <v>468.05700000000002</v>
      </c>
      <c r="C6" s="576">
        <f>IF(B$8&lt;&gt;0,B6*100/B$8,0)</f>
        <v>62.892205406727307</v>
      </c>
      <c r="D6" s="242">
        <v>484.22500000000002</v>
      </c>
      <c r="E6" s="576">
        <f>IF(D$8&lt;&gt;0,D6*100/D$8,0)</f>
        <v>62.068908056364165</v>
      </c>
      <c r="F6" s="577">
        <f>IF(B6&lt;&gt;0,D6/B6*100,"-")</f>
        <v>103.45428014109392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75" t="s">
        <v>900</v>
      </c>
      <c r="B7" s="242">
        <v>276.16399999999999</v>
      </c>
      <c r="C7" s="576">
        <f>IF(B$8&lt;&gt;0,B7*100/B$8,0)</f>
        <v>37.107794593272693</v>
      </c>
      <c r="D7" s="242">
        <v>295.916</v>
      </c>
      <c r="E7" s="576">
        <f>IF(D$8&lt;&gt;0,D7*100/D$8,0)</f>
        <v>37.931091943635828</v>
      </c>
      <c r="F7" s="577">
        <f>IF(B7&lt;&gt;0,D7/B7*100,"-")</f>
        <v>107.1522718384728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72" t="s">
        <v>901</v>
      </c>
      <c r="B8" s="578">
        <f>SUM(B6:B7)</f>
        <v>744.221</v>
      </c>
      <c r="C8" s="579">
        <f>SUM(C6:C7)</f>
        <v>100</v>
      </c>
      <c r="D8" s="578">
        <f>SUM(D6:D7)</f>
        <v>780.14100000000008</v>
      </c>
      <c r="E8" s="579">
        <f>SUM(E6:E7)</f>
        <v>100</v>
      </c>
      <c r="F8" s="589">
        <f>IF(B8&lt;&gt;0,D8/B8*100,"-")</f>
        <v>104.82652330423356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72" t="s">
        <v>902</v>
      </c>
      <c r="B9" s="578"/>
      <c r="C9" s="573"/>
      <c r="D9" s="578"/>
      <c r="E9" s="573"/>
      <c r="F9" s="577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75" t="s">
        <v>903</v>
      </c>
      <c r="B10" s="242">
        <v>78.554000000000002</v>
      </c>
      <c r="C10" s="576">
        <f>IF(B$13&lt;&gt;0,B10*100/B$13,0)</f>
        <v>16.55538976421099</v>
      </c>
      <c r="D10" s="242">
        <v>89.097999999999999</v>
      </c>
      <c r="E10" s="576">
        <f>IF(D$13&lt;&gt;0,D10*100/D$13,0)</f>
        <v>18.124010886855626</v>
      </c>
      <c r="F10" s="577">
        <f t="shared" ref="F10:F18" si="0">IF(B10&lt;&gt;0,D10/B10*100,"-")</f>
        <v>113.42261374341219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75" t="s">
        <v>904</v>
      </c>
      <c r="B11" s="242">
        <v>97.882999999999996</v>
      </c>
      <c r="C11" s="576">
        <f>IF(B$13&lt;&gt;0,B11*100/B$13,0)</f>
        <v>20.629009551267458</v>
      </c>
      <c r="D11" s="242">
        <v>92.352000000000004</v>
      </c>
      <c r="E11" s="576">
        <f>IF(D$13&lt;&gt;0,D11*100/D$13,0)</f>
        <v>18.785928454318739</v>
      </c>
      <c r="F11" s="577">
        <f t="shared" si="0"/>
        <v>94.349376296190357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75" t="s">
        <v>905</v>
      </c>
      <c r="B12" s="242">
        <v>298.05500000000001</v>
      </c>
      <c r="C12" s="576">
        <f>IF(B$13&lt;&gt;0,B12*100/B$13,0)</f>
        <v>62.815600684521549</v>
      </c>
      <c r="D12" s="242">
        <v>310.15199999999999</v>
      </c>
      <c r="E12" s="576">
        <f>IF(D$13&lt;&gt;0,D12*100/D$13,0)</f>
        <v>63.090060658825635</v>
      </c>
      <c r="F12" s="577">
        <f t="shared" si="0"/>
        <v>104.05864689402962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72" t="s">
        <v>906</v>
      </c>
      <c r="B13" s="578">
        <f>SUM(B10:B12)</f>
        <v>474.49200000000002</v>
      </c>
      <c r="C13" s="579">
        <f>SUM(C10:C12)</f>
        <v>100</v>
      </c>
      <c r="D13" s="578">
        <f>SUM(D10:D12)</f>
        <v>491.60199999999998</v>
      </c>
      <c r="E13" s="579">
        <f>SUM(E10:E12)</f>
        <v>100</v>
      </c>
      <c r="F13" s="589">
        <f t="shared" si="0"/>
        <v>103.60596174434973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72" t="s">
        <v>907</v>
      </c>
      <c r="B14" s="578">
        <f>B8-B13</f>
        <v>269.72899999999998</v>
      </c>
      <c r="C14" s="573"/>
      <c r="D14" s="578">
        <f>D8-D13</f>
        <v>288.5390000000001</v>
      </c>
      <c r="E14" s="573"/>
      <c r="F14" s="589">
        <f t="shared" si="0"/>
        <v>106.97366616122113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72" t="s">
        <v>101</v>
      </c>
      <c r="B15" s="578">
        <v>269.72899999999998</v>
      </c>
      <c r="C15" s="573"/>
      <c r="D15" s="578">
        <v>288.53899999999999</v>
      </c>
      <c r="E15" s="573"/>
      <c r="F15" s="589">
        <f t="shared" si="0"/>
        <v>106.97366616122108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72" t="s">
        <v>102</v>
      </c>
      <c r="B16" s="578">
        <v>0</v>
      </c>
      <c r="C16" s="573"/>
      <c r="D16" s="578">
        <v>0</v>
      </c>
      <c r="E16" s="573"/>
      <c r="F16" s="589" t="str">
        <f t="shared" si="0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72" t="s">
        <v>103</v>
      </c>
      <c r="B17" s="580">
        <v>22.780999999999999</v>
      </c>
      <c r="C17" s="581"/>
      <c r="D17" s="580">
        <v>22.672999999999998</v>
      </c>
      <c r="E17" s="581"/>
      <c r="F17" s="589">
        <f t="shared" si="0"/>
        <v>99.525920723409854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72" t="s">
        <v>104</v>
      </c>
      <c r="B18" s="242">
        <v>1.1339999999999999</v>
      </c>
      <c r="C18" s="582"/>
      <c r="D18" s="242">
        <v>1.7330000000000001</v>
      </c>
      <c r="E18" s="581"/>
      <c r="F18" s="589">
        <f t="shared" si="0"/>
        <v>152.82186948853618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572" t="s">
        <v>105</v>
      </c>
      <c r="B19" s="242">
        <v>0.92200000000000004</v>
      </c>
      <c r="C19" s="582"/>
      <c r="D19" s="242">
        <v>0.67200000000000004</v>
      </c>
      <c r="E19" s="581"/>
      <c r="F19" s="589">
        <f t="shared" ref="F19" si="1">IF(B19&lt;&gt;0,D19/B19*100,"-")</f>
        <v>72.885032537960953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583" t="s">
        <v>106</v>
      </c>
      <c r="B20" s="584">
        <v>247.16</v>
      </c>
      <c r="C20" s="585"/>
      <c r="D20" s="584">
        <v>266.92700000000002</v>
      </c>
      <c r="E20" s="585"/>
      <c r="F20" s="590">
        <f>IF(B20&lt;&gt;0,D20/B20*100,"-")</f>
        <v>107.99765334196474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586" t="s">
        <v>107</v>
      </c>
      <c r="B21" s="587">
        <v>0</v>
      </c>
      <c r="C21" s="588"/>
      <c r="D21" s="587">
        <v>0</v>
      </c>
      <c r="E21" s="588"/>
      <c r="F21" s="621" t="str">
        <f>IF(B21&lt;&gt;0,D21/B21*100,"-")</f>
        <v>-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/>
  <dimension ref="A2:G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142" t="s">
        <v>605</v>
      </c>
      <c r="B2" s="142"/>
      <c r="C2" s="142"/>
      <c r="D2" s="142"/>
      <c r="E2" s="142"/>
      <c r="F2" s="145" t="s">
        <v>695</v>
      </c>
    </row>
    <row r="3" spans="1:6" ht="13.8" customHeight="1" x14ac:dyDescent="0.3">
      <c r="A3" s="166" t="s">
        <v>10</v>
      </c>
      <c r="B3" s="348" t="s">
        <v>964</v>
      </c>
      <c r="C3" s="349" t="s">
        <v>965</v>
      </c>
      <c r="D3" s="349" t="s">
        <v>966</v>
      </c>
      <c r="E3" s="349" t="s">
        <v>967</v>
      </c>
      <c r="F3" s="349" t="s">
        <v>968</v>
      </c>
    </row>
    <row r="4" spans="1:6" ht="14.1" customHeight="1" x14ac:dyDescent="0.3">
      <c r="A4" s="350" t="s">
        <v>99</v>
      </c>
      <c r="B4" s="351">
        <v>115.452</v>
      </c>
      <c r="C4" s="352">
        <v>139.29499999999999</v>
      </c>
      <c r="D4" s="352">
        <v>189.27199999999999</v>
      </c>
      <c r="E4" s="352">
        <v>247.16</v>
      </c>
      <c r="F4" s="352">
        <v>266.92700000000002</v>
      </c>
    </row>
    <row r="5" spans="1:6" ht="14.1" customHeight="1" x14ac:dyDescent="0.3">
      <c r="A5" s="147" t="s">
        <v>97</v>
      </c>
      <c r="B5" s="205">
        <v>9088.9220000000005</v>
      </c>
      <c r="C5" s="163">
        <v>9405.8020000000015</v>
      </c>
      <c r="D5" s="163">
        <v>9691.7120000000014</v>
      </c>
      <c r="E5" s="163">
        <v>10363.313999999998</v>
      </c>
      <c r="F5" s="163">
        <v>11332.549000000001</v>
      </c>
    </row>
    <row r="6" spans="1:6" ht="14.1" customHeight="1" x14ac:dyDescent="0.3">
      <c r="A6" s="147" t="s">
        <v>98</v>
      </c>
      <c r="B6" s="205">
        <v>1115.3810000000001</v>
      </c>
      <c r="C6" s="163">
        <v>1169.1869999999999</v>
      </c>
      <c r="D6" s="163">
        <v>1272.1850000000002</v>
      </c>
      <c r="E6" s="163">
        <v>1399.1599999999999</v>
      </c>
      <c r="F6" s="163">
        <v>1589.807</v>
      </c>
    </row>
    <row r="7" spans="1:6" ht="14.1" customHeight="1" x14ac:dyDescent="0.3">
      <c r="A7" s="6" t="s">
        <v>144</v>
      </c>
      <c r="B7" s="353">
        <f>IFERROR(12*B4/LEFT(B3,2)/B$5,0)</f>
        <v>1.2702496511687525E-2</v>
      </c>
      <c r="C7" s="354">
        <f>IFERROR(12*C4/LEFT(C3,2)/C$5,0)</f>
        <v>1.4809476108470066E-2</v>
      </c>
      <c r="D7" s="354">
        <f>IFERROR(12*D4/LEFT(D3,2)/D$5,0)</f>
        <v>1.9529263766814367E-2</v>
      </c>
      <c r="E7" s="354">
        <f>IFERROR(12*E4/LEFT(E3,2)/E$5,0)</f>
        <v>2.3849513775226729E-2</v>
      </c>
      <c r="F7" s="354">
        <f>IFERROR(12*F4/LEFT(F3,2)/F$5,0)</f>
        <v>2.3554012429154288E-2</v>
      </c>
    </row>
    <row r="8" spans="1:6" ht="14.1" customHeight="1" x14ac:dyDescent="0.3">
      <c r="A8" s="6" t="s">
        <v>145</v>
      </c>
      <c r="B8" s="353">
        <f>IFERROR(12*B4/LEFT(B3,2)/B$6,0)</f>
        <v>0.10350902516718502</v>
      </c>
      <c r="C8" s="354">
        <f>IFERROR(12*C4/LEFT(C3,2)/C$6,0)</f>
        <v>0.11913834142870217</v>
      </c>
      <c r="D8" s="354">
        <f>IFERROR(12*D4/LEFT(D3,2)/D$6,0)</f>
        <v>0.14877710395893678</v>
      </c>
      <c r="E8" s="354">
        <f>IFERROR(12*E4/LEFT(E3,2)/E$6,0)</f>
        <v>0.17664884645072759</v>
      </c>
      <c r="F8" s="354">
        <f>IFERROR(12*F4/LEFT(F3,2)/F$6,0)</f>
        <v>0.16789899654486362</v>
      </c>
    </row>
    <row r="9" spans="1:6" ht="14.1" customHeight="1" x14ac:dyDescent="0.3">
      <c r="A9" s="147" t="s">
        <v>142</v>
      </c>
      <c r="B9" s="205">
        <v>250.239</v>
      </c>
      <c r="C9" s="163">
        <v>279.22399999999999</v>
      </c>
      <c r="D9" s="163">
        <v>352.65199999999999</v>
      </c>
      <c r="E9" s="163">
        <v>389.50299999999999</v>
      </c>
      <c r="F9" s="163">
        <v>395.12700000000001</v>
      </c>
    </row>
    <row r="10" spans="1:6" ht="14.1" customHeight="1" x14ac:dyDescent="0.3">
      <c r="A10" s="147" t="s">
        <v>780</v>
      </c>
      <c r="B10" s="205">
        <v>189.98500000000001</v>
      </c>
      <c r="C10" s="163">
        <v>219.607</v>
      </c>
      <c r="D10" s="163">
        <v>240.75399999999999</v>
      </c>
      <c r="E10" s="163">
        <v>276.16399999999999</v>
      </c>
      <c r="F10" s="163">
        <v>295.916</v>
      </c>
    </row>
    <row r="11" spans="1:6" ht="14.1" customHeight="1" x14ac:dyDescent="0.3">
      <c r="A11" s="147" t="s">
        <v>143</v>
      </c>
      <c r="B11" s="205">
        <v>44.84</v>
      </c>
      <c r="C11" s="163">
        <v>51.668999999999997</v>
      </c>
      <c r="D11" s="163">
        <v>57.168999999999997</v>
      </c>
      <c r="E11" s="163">
        <v>60.158000000000001</v>
      </c>
      <c r="F11" s="163">
        <v>68.86</v>
      </c>
    </row>
    <row r="12" spans="1:6" ht="14.1" customHeight="1" x14ac:dyDescent="0.3">
      <c r="A12" s="147" t="s">
        <v>110</v>
      </c>
      <c r="B12" s="205">
        <v>245.71899999999999</v>
      </c>
      <c r="C12" s="163">
        <v>249.44300000000001</v>
      </c>
      <c r="D12" s="163">
        <v>280.10000000000002</v>
      </c>
      <c r="E12" s="163">
        <v>298.05500000000001</v>
      </c>
      <c r="F12" s="163">
        <v>310.15199999999999</v>
      </c>
    </row>
    <row r="13" spans="1:6" ht="27" customHeight="1" x14ac:dyDescent="0.3">
      <c r="A13" s="147" t="s">
        <v>111</v>
      </c>
      <c r="B13" s="205">
        <f>B9+B10-B11</f>
        <v>395.38400000000001</v>
      </c>
      <c r="C13" s="163">
        <f>C9+C10-C11</f>
        <v>447.16200000000003</v>
      </c>
      <c r="D13" s="163">
        <f t="shared" ref="D13:E13" si="0">D9+D10-D11</f>
        <v>536.23699999999997</v>
      </c>
      <c r="E13" s="163">
        <f t="shared" si="0"/>
        <v>605.5089999999999</v>
      </c>
      <c r="F13" s="163">
        <f>F9+F10-F11</f>
        <v>622.18299999999999</v>
      </c>
    </row>
    <row r="14" spans="1:6" ht="14.1" customHeight="1" x14ac:dyDescent="0.3">
      <c r="A14" s="6" t="s">
        <v>112</v>
      </c>
      <c r="B14" s="353">
        <f>IFERROR(12*B9/LEFT(B3,2)/B$5,0)</f>
        <v>2.7532308011885238E-2</v>
      </c>
      <c r="C14" s="354">
        <f>IFERROR(12*C9/LEFT(C3,2)/C$5,0)</f>
        <v>2.9686357420664389E-2</v>
      </c>
      <c r="D14" s="354">
        <f>IFERROR(12*D9/LEFT(D3,2)/D$5,0)</f>
        <v>3.6386966513243475E-2</v>
      </c>
      <c r="E14" s="354">
        <f>IFERROR(12*E9/LEFT(E3,2)/E$5,0)</f>
        <v>3.7584791891860078E-2</v>
      </c>
      <c r="F14" s="354">
        <f>IFERROR(12*F9/LEFT(F3,2)/F$5,0)</f>
        <v>3.486656002987501E-2</v>
      </c>
    </row>
    <row r="15" spans="1:6" ht="14.1" customHeight="1" x14ac:dyDescent="0.3">
      <c r="A15" s="6" t="s">
        <v>113</v>
      </c>
      <c r="B15" s="353">
        <f>IFERROR(12*B10/LEFT(B3,2)/B$5,0)</f>
        <v>2.0902918960026284E-2</v>
      </c>
      <c r="C15" s="354">
        <f>IFERROR(12*C10/LEFT(C3,2)/C$5,0)</f>
        <v>2.3348035606107802E-2</v>
      </c>
      <c r="D15" s="354">
        <f>IFERROR(12*D10/LEFT(D3,2)/D$5,0)</f>
        <v>2.4841225162282984E-2</v>
      </c>
      <c r="E15" s="354">
        <f>IFERROR(12*E10/LEFT(E3,2)/E$5,0)</f>
        <v>2.6648232409053708E-2</v>
      </c>
      <c r="F15" s="354">
        <f>IFERROR(12*F10/LEFT(F3,2)/F$5,0)</f>
        <v>2.6112042401052048E-2</v>
      </c>
    </row>
    <row r="16" spans="1:6" ht="40.5" customHeight="1" thickBot="1" x14ac:dyDescent="0.35">
      <c r="A16" s="355" t="s">
        <v>114</v>
      </c>
      <c r="B16" s="356">
        <f>IF(B13&lt;&gt;0,B12/B13,0)</f>
        <v>0.62146925520506646</v>
      </c>
      <c r="C16" s="357">
        <f t="shared" ref="C16:E16" si="1">IF(C13&lt;&gt;0,C12/C13,0)</f>
        <v>0.55783586261802209</v>
      </c>
      <c r="D16" s="357">
        <f t="shared" si="1"/>
        <v>0.52234366520773468</v>
      </c>
      <c r="E16" s="357">
        <f t="shared" si="1"/>
        <v>0.49223876110842291</v>
      </c>
      <c r="F16" s="357">
        <f>IF(F13&lt;&gt;0,F12/F13,0)</f>
        <v>0.49848999410141387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6" customWidth="1"/>
    <col min="2" max="3" width="7.77734375" style="27" customWidth="1"/>
    <col min="4" max="4" width="7.5546875" style="27" bestFit="1" customWidth="1"/>
    <col min="5" max="6" width="7.77734375" style="27" customWidth="1"/>
    <col min="7" max="7" width="7.5546875" style="27" bestFit="1" customWidth="1"/>
    <col min="8" max="9" width="7.77734375" style="27" customWidth="1"/>
    <col min="10" max="10" width="7.5546875" style="27" bestFit="1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x14ac:dyDescent="0.3">
      <c r="A1" s="181"/>
      <c r="B1" s="24"/>
      <c r="C1" s="24"/>
      <c r="D1" s="24"/>
      <c r="E1" s="24"/>
      <c r="F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1"/>
      <c r="B2" s="24"/>
      <c r="C2" s="24"/>
      <c r="D2" s="24"/>
      <c r="E2" s="24"/>
      <c r="F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3" t="s">
        <v>606</v>
      </c>
      <c r="B4" s="243"/>
      <c r="C4" s="243"/>
      <c r="D4" s="243"/>
      <c r="E4" s="243"/>
      <c r="F4" s="243"/>
      <c r="G4" s="243"/>
      <c r="H4" s="243"/>
      <c r="I4" s="243"/>
      <c r="J4" s="145" t="s">
        <v>695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89" t="s">
        <v>718</v>
      </c>
      <c r="B5" s="886" t="s">
        <v>952</v>
      </c>
      <c r="C5" s="887"/>
      <c r="D5" s="888"/>
      <c r="E5" s="886" t="s">
        <v>958</v>
      </c>
      <c r="F5" s="887"/>
      <c r="G5" s="888"/>
      <c r="H5" s="886" t="s">
        <v>961</v>
      </c>
      <c r="I5" s="887"/>
      <c r="J5" s="887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90"/>
      <c r="B6" s="718" t="s">
        <v>2</v>
      </c>
      <c r="C6" s="719" t="s">
        <v>154</v>
      </c>
      <c r="D6" s="720" t="s">
        <v>184</v>
      </c>
      <c r="E6" s="718" t="s">
        <v>2</v>
      </c>
      <c r="F6" s="719" t="s">
        <v>154</v>
      </c>
      <c r="G6" s="720" t="s">
        <v>184</v>
      </c>
      <c r="H6" s="721" t="s">
        <v>2</v>
      </c>
      <c r="I6" s="719" t="s">
        <v>154</v>
      </c>
      <c r="J6" s="719" t="s">
        <v>184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722" t="s">
        <v>95</v>
      </c>
      <c r="B7" s="723">
        <f>B8+B17</f>
        <v>11568.786000000002</v>
      </c>
      <c r="C7" s="724">
        <f>C8+C17</f>
        <v>356.53399999999999</v>
      </c>
      <c r="D7" s="725">
        <f>IFERROR(C7*100/B7,0)</f>
        <v>3.0818618306190464</v>
      </c>
      <c r="E7" s="723">
        <f>E8+E17</f>
        <v>12582.934999999999</v>
      </c>
      <c r="F7" s="724">
        <f>F8+F17</f>
        <v>366.43400000000003</v>
      </c>
      <c r="G7" s="725">
        <f>IFERROR(F7*100/E7,0)</f>
        <v>2.9121504641007845</v>
      </c>
      <c r="H7" s="724">
        <f>H8+H17</f>
        <v>13940.930000000002</v>
      </c>
      <c r="I7" s="724">
        <f>I8+I17</f>
        <v>375.95699999999999</v>
      </c>
      <c r="J7" s="726">
        <f>IFERROR(I7*100/H7,0)</f>
        <v>2.6967856520332569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727" t="s">
        <v>185</v>
      </c>
      <c r="B8" s="598">
        <f>+B9+B14+B15+B16</f>
        <v>10175.613000000001</v>
      </c>
      <c r="C8" s="599">
        <f>SUM(C10:C16)</f>
        <v>339.57400000000001</v>
      </c>
      <c r="D8" s="601">
        <f>IFERROR(C8*100/B8,0)</f>
        <v>3.3371355612679059</v>
      </c>
      <c r="E8" s="598">
        <f>+E9+E14+E15+E16</f>
        <v>11006.373</v>
      </c>
      <c r="F8" s="599">
        <f>SUM(F10:F16)</f>
        <v>349.52500000000003</v>
      </c>
      <c r="G8" s="601">
        <f>IFERROR(F8*100/E8,0)</f>
        <v>3.1756601379945963</v>
      </c>
      <c r="H8" s="728">
        <f>+H9+H14+H15+H16</f>
        <v>12220.278000000002</v>
      </c>
      <c r="I8" s="599">
        <f>SUM(I10:I16)</f>
        <v>361.36899999999997</v>
      </c>
      <c r="J8" s="600">
        <f>IFERROR(I8*100/H8,0)</f>
        <v>2.9571258526197184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729" t="s">
        <v>186</v>
      </c>
      <c r="B9" s="602">
        <f>+B10+B11+B12+B13</f>
        <v>9102.848</v>
      </c>
      <c r="C9" s="603">
        <f>+C10+C11+C12+C13</f>
        <v>330.25600000000003</v>
      </c>
      <c r="D9" s="605">
        <f>IFERROR(C9*100/B9,0)</f>
        <v>3.6280513527195013</v>
      </c>
      <c r="E9" s="602">
        <f>+E10+E11+E12+E13</f>
        <v>10092.853000000001</v>
      </c>
      <c r="F9" s="603">
        <f>+F10+F11+F12+F13</f>
        <v>338.88300000000004</v>
      </c>
      <c r="G9" s="605">
        <f>IFERROR(F9*100/E9,0)</f>
        <v>3.3576531829008109</v>
      </c>
      <c r="H9" s="730">
        <f>+H10+H11+H12+H13</f>
        <v>11143.343000000001</v>
      </c>
      <c r="I9" s="603">
        <f>+I10+I11+I12+I13</f>
        <v>349.24899999999997</v>
      </c>
      <c r="J9" s="604">
        <f>IFERROR(I9*100/H9,0)</f>
        <v>3.1341492404927309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731" t="s">
        <v>652</v>
      </c>
      <c r="B10" s="732">
        <v>2588.8939999999998</v>
      </c>
      <c r="C10" s="733">
        <v>6.5439999999999996</v>
      </c>
      <c r="D10" s="734">
        <f>IFERROR(C10*100/B10,0)</f>
        <v>0.25277203315392599</v>
      </c>
      <c r="E10" s="732">
        <v>2807.5509999999999</v>
      </c>
      <c r="F10" s="733">
        <v>4.665</v>
      </c>
      <c r="G10" s="734">
        <f>IFERROR(F10*100/E10,0)</f>
        <v>0.1661590475115145</v>
      </c>
      <c r="H10" s="735">
        <v>3020.4870000000001</v>
      </c>
      <c r="I10" s="733">
        <v>3.9630000000000001</v>
      </c>
      <c r="J10" s="736">
        <f>IFERROR(I10*100/H10,0)</f>
        <v>0.13120400783052535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731" t="s">
        <v>187</v>
      </c>
      <c r="B11" s="732">
        <v>426.61700000000002</v>
      </c>
      <c r="C11" s="733">
        <v>2.7650000000000001</v>
      </c>
      <c r="D11" s="734">
        <f t="shared" ref="D11:D12" si="0">IFERROR(C11*100/B11,0)</f>
        <v>0.64812232048886942</v>
      </c>
      <c r="E11" s="732">
        <v>554.27099999999996</v>
      </c>
      <c r="F11" s="733">
        <v>0.76300000000000001</v>
      </c>
      <c r="G11" s="734">
        <f t="shared" ref="G11:G13" si="1">IFERROR(F11*100/E11,0)</f>
        <v>0.13765829350624514</v>
      </c>
      <c r="H11" s="735">
        <v>756.72799999999995</v>
      </c>
      <c r="I11" s="733">
        <v>2.044</v>
      </c>
      <c r="J11" s="736">
        <f t="shared" ref="J11:J13" si="2">IFERROR(I11*100/H11,0)</f>
        <v>0.27011026419003925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731" t="s">
        <v>188</v>
      </c>
      <c r="B12" s="732">
        <v>6056.5429999999997</v>
      </c>
      <c r="C12" s="733">
        <v>314.91500000000002</v>
      </c>
      <c r="D12" s="734">
        <f t="shared" si="0"/>
        <v>5.1995833266601101</v>
      </c>
      <c r="E12" s="732">
        <v>6695.1629999999996</v>
      </c>
      <c r="F12" s="733">
        <v>327.17200000000003</v>
      </c>
      <c r="G12" s="734">
        <f t="shared" si="1"/>
        <v>4.8866920790427368</v>
      </c>
      <c r="H12" s="735">
        <v>7324.8779999999997</v>
      </c>
      <c r="I12" s="733">
        <v>336.37599999999998</v>
      </c>
      <c r="J12" s="736">
        <f t="shared" si="2"/>
        <v>4.5922403076201403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731" t="s">
        <v>189</v>
      </c>
      <c r="B13" s="732">
        <v>30.794</v>
      </c>
      <c r="C13" s="733">
        <v>6.032</v>
      </c>
      <c r="D13" s="734">
        <f>IFERROR(C13*100/B13,0)</f>
        <v>19.588231473663701</v>
      </c>
      <c r="E13" s="732">
        <v>35.868000000000002</v>
      </c>
      <c r="F13" s="733">
        <v>6.2830000000000004</v>
      </c>
      <c r="G13" s="734">
        <f t="shared" si="1"/>
        <v>17.517006802721088</v>
      </c>
      <c r="H13" s="735">
        <v>41.25</v>
      </c>
      <c r="I13" s="733">
        <v>6.8659999999999997</v>
      </c>
      <c r="J13" s="736">
        <f t="shared" si="2"/>
        <v>16.644848484848481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209" customFormat="1" ht="24" x14ac:dyDescent="0.3">
      <c r="A14" s="729" t="s">
        <v>190</v>
      </c>
      <c r="B14" s="602">
        <v>15.218</v>
      </c>
      <c r="C14" s="603">
        <v>0</v>
      </c>
      <c r="D14" s="605"/>
      <c r="E14" s="602">
        <v>19.768000000000001</v>
      </c>
      <c r="F14" s="603">
        <v>0</v>
      </c>
      <c r="G14" s="605"/>
      <c r="H14" s="730">
        <v>19.084</v>
      </c>
      <c r="I14" s="603">
        <v>0</v>
      </c>
      <c r="J14" s="604"/>
      <c r="K14" s="210"/>
      <c r="L14" s="210"/>
      <c r="M14" s="210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209" customFormat="1" ht="36" x14ac:dyDescent="0.3">
      <c r="A15" s="729" t="s">
        <v>761</v>
      </c>
      <c r="B15" s="602">
        <v>967.44899999999996</v>
      </c>
      <c r="C15" s="603">
        <v>0</v>
      </c>
      <c r="D15" s="605"/>
      <c r="E15" s="602">
        <v>773.83600000000001</v>
      </c>
      <c r="F15" s="603">
        <v>0</v>
      </c>
      <c r="G15" s="605"/>
      <c r="H15" s="730">
        <v>939.66899999999998</v>
      </c>
      <c r="I15" s="603">
        <v>0</v>
      </c>
      <c r="J15" s="604"/>
      <c r="K15" s="27"/>
      <c r="L15" s="27"/>
      <c r="M15" s="27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209" customFormat="1" x14ac:dyDescent="0.3">
      <c r="A16" s="737" t="s">
        <v>191</v>
      </c>
      <c r="B16" s="738">
        <v>90.097999999999999</v>
      </c>
      <c r="C16" s="739">
        <v>9.3179999999999996</v>
      </c>
      <c r="D16" s="740">
        <f>IFERROR(C16*100/B16,0)</f>
        <v>10.342071966081377</v>
      </c>
      <c r="E16" s="738">
        <v>119.916</v>
      </c>
      <c r="F16" s="739">
        <v>10.641999999999999</v>
      </c>
      <c r="G16" s="740">
        <f>IFERROR(F16*100/E16,0)</f>
        <v>8.8745455151939705</v>
      </c>
      <c r="H16" s="741">
        <v>118.182</v>
      </c>
      <c r="I16" s="739">
        <v>12.12</v>
      </c>
      <c r="J16" s="742">
        <f>IFERROR(I16*100/H16,0)</f>
        <v>10.255368837894096</v>
      </c>
      <c r="K16" s="27"/>
      <c r="L16" s="27"/>
      <c r="M16" s="27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743" t="s">
        <v>192</v>
      </c>
      <c r="B17" s="749">
        <f>SUM(B18:B21)</f>
        <v>1393.173</v>
      </c>
      <c r="C17" s="750">
        <f>SUM(C18:C21)</f>
        <v>16.96</v>
      </c>
      <c r="D17" s="744">
        <f>IFERROR(C17*100/B17,0)</f>
        <v>1.2173649647244096</v>
      </c>
      <c r="E17" s="749">
        <f t="shared" ref="E17:I17" si="3">SUM(E18:E21)</f>
        <v>1576.5619999999999</v>
      </c>
      <c r="F17" s="750">
        <f t="shared" si="3"/>
        <v>16.908999999999999</v>
      </c>
      <c r="G17" s="744">
        <f>IFERROR(F17*100/E17,0)</f>
        <v>1.0725236305327668</v>
      </c>
      <c r="H17" s="751">
        <f t="shared" si="3"/>
        <v>1720.652</v>
      </c>
      <c r="I17" s="750">
        <f t="shared" si="3"/>
        <v>14.587999999999999</v>
      </c>
      <c r="J17" s="745">
        <f>IFERROR(I17*100/H17,0)</f>
        <v>0.84781815265376148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729" t="s">
        <v>193</v>
      </c>
      <c r="B18" s="602">
        <v>731.96500000000003</v>
      </c>
      <c r="C18" s="603">
        <v>9.8960000000000008</v>
      </c>
      <c r="D18" s="605">
        <f>IFERROR(C18*100/B18,0)</f>
        <v>1.3519772120251652</v>
      </c>
      <c r="E18" s="602">
        <v>771.49699999999996</v>
      </c>
      <c r="F18" s="603">
        <v>9.1159999999999997</v>
      </c>
      <c r="G18" s="605">
        <f>IFERROR(F18*100/E18,0)</f>
        <v>1.1815988915057349</v>
      </c>
      <c r="H18" s="752">
        <v>815.33399999999995</v>
      </c>
      <c r="I18" s="603">
        <v>5.6369999999999996</v>
      </c>
      <c r="J18" s="604">
        <f>IFERROR(I18*100/H18,0)</f>
        <v>0.69137310599091906</v>
      </c>
      <c r="K18" s="33"/>
      <c r="L18" s="33"/>
      <c r="M18" s="33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729" t="s">
        <v>194</v>
      </c>
      <c r="B19" s="602">
        <v>0.875</v>
      </c>
      <c r="C19" s="603">
        <v>6.0000000000000001E-3</v>
      </c>
      <c r="D19" s="605">
        <f t="shared" ref="D19:D21" si="4">IFERROR(C19*100/B19,0)</f>
        <v>0.68571428571428572</v>
      </c>
      <c r="E19" s="602">
        <v>26.074999999999999</v>
      </c>
      <c r="F19" s="603">
        <v>0.50800000000000001</v>
      </c>
      <c r="G19" s="605">
        <f t="shared" ref="G19:G21" si="5">IFERROR(F19*100/E19,0)</f>
        <v>1.9482262703739213</v>
      </c>
      <c r="H19" s="752">
        <v>1.9119999999999999</v>
      </c>
      <c r="I19" s="603">
        <v>1.6E-2</v>
      </c>
      <c r="J19" s="604">
        <f t="shared" ref="J19:J21" si="6">IFERROR(I19*100/H19,0)</f>
        <v>0.83682008368200844</v>
      </c>
      <c r="K19" s="33"/>
      <c r="L19" s="33"/>
      <c r="M19" s="33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746" t="s">
        <v>195</v>
      </c>
      <c r="B20" s="753">
        <v>660.00400000000002</v>
      </c>
      <c r="C20" s="611">
        <v>7.056</v>
      </c>
      <c r="D20" s="605">
        <f t="shared" si="4"/>
        <v>1.0690844297913347</v>
      </c>
      <c r="E20" s="753">
        <v>778.70899999999995</v>
      </c>
      <c r="F20" s="611">
        <v>7.2839999999999998</v>
      </c>
      <c r="G20" s="605">
        <f t="shared" si="5"/>
        <v>0.93539435142010685</v>
      </c>
      <c r="H20" s="754">
        <v>903.125</v>
      </c>
      <c r="I20" s="611">
        <v>8.9329999999999998</v>
      </c>
      <c r="J20" s="604">
        <f t="shared" si="6"/>
        <v>0.98912110726643598</v>
      </c>
      <c r="K20" s="33"/>
      <c r="L20" s="33"/>
      <c r="M20" s="33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747" t="s">
        <v>196</v>
      </c>
      <c r="B21" s="616">
        <v>0.32900000000000001</v>
      </c>
      <c r="C21" s="617">
        <v>2E-3</v>
      </c>
      <c r="D21" s="605">
        <f t="shared" si="4"/>
        <v>0.60790273556231</v>
      </c>
      <c r="E21" s="616">
        <v>0.28100000000000003</v>
      </c>
      <c r="F21" s="617">
        <v>1E-3</v>
      </c>
      <c r="G21" s="605">
        <f t="shared" si="5"/>
        <v>0.35587188612099641</v>
      </c>
      <c r="H21" s="755">
        <v>0.28100000000000003</v>
      </c>
      <c r="I21" s="617">
        <v>2E-3</v>
      </c>
      <c r="J21" s="748">
        <f t="shared" si="6"/>
        <v>0.71174377224199281</v>
      </c>
      <c r="K21" s="33"/>
      <c r="L21" s="33"/>
      <c r="M21" s="33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885" t="s">
        <v>762</v>
      </c>
      <c r="B22" s="885"/>
      <c r="C22" s="885"/>
      <c r="D22" s="885"/>
      <c r="E22" s="885"/>
      <c r="F22" s="885"/>
      <c r="G22" s="885"/>
      <c r="H22" s="885"/>
      <c r="I22" s="885"/>
      <c r="J22" s="885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3" spans="1:177" x14ac:dyDescent="0.3">
      <c r="A23" s="210"/>
      <c r="B23" s="209"/>
      <c r="C23" s="209"/>
      <c r="D23" s="209"/>
      <c r="E23" s="209"/>
      <c r="F23" s="209"/>
      <c r="G23" s="209"/>
      <c r="H23" s="209"/>
      <c r="I23" s="209"/>
      <c r="J23" s="209"/>
    </row>
    <row r="24" spans="1:177" x14ac:dyDescent="0.3">
      <c r="N24" s="31"/>
    </row>
    <row r="25" spans="1:177" x14ac:dyDescent="0.3">
      <c r="N25" s="28"/>
    </row>
    <row r="26" spans="1:177" x14ac:dyDescent="0.3">
      <c r="N26" s="28"/>
    </row>
    <row r="27" spans="1:177" x14ac:dyDescent="0.3">
      <c r="N27" s="28"/>
    </row>
    <row r="28" spans="1:177" x14ac:dyDescent="0.3">
      <c r="N28" s="28"/>
    </row>
    <row r="29" spans="1:177" x14ac:dyDescent="0.3">
      <c r="N29" s="28"/>
    </row>
    <row r="30" spans="1:177" x14ac:dyDescent="0.3">
      <c r="N30" s="28"/>
    </row>
    <row r="31" spans="1:177" x14ac:dyDescent="0.3">
      <c r="N31" s="28"/>
    </row>
    <row r="32" spans="1:177" x14ac:dyDescent="0.3">
      <c r="N32" s="28"/>
    </row>
    <row r="33" spans="14:14" x14ac:dyDescent="0.3">
      <c r="N33" s="28"/>
    </row>
    <row r="34" spans="14:14" x14ac:dyDescent="0.3">
      <c r="N34" s="28"/>
    </row>
    <row r="35" spans="14:14" x14ac:dyDescent="0.3">
      <c r="N35" s="28"/>
    </row>
    <row r="36" spans="14:14" x14ac:dyDescent="0.3">
      <c r="N36" s="28"/>
    </row>
    <row r="37" spans="14:14" x14ac:dyDescent="0.3">
      <c r="N37" s="28"/>
    </row>
    <row r="38" spans="14:14" x14ac:dyDescent="0.3">
      <c r="N38" s="28"/>
    </row>
    <row r="39" spans="14:14" x14ac:dyDescent="0.3">
      <c r="N39" s="28"/>
    </row>
    <row r="40" spans="14:14" x14ac:dyDescent="0.3">
      <c r="N40" s="28"/>
    </row>
    <row r="41" spans="14:14" x14ac:dyDescent="0.3">
      <c r="N41" s="28"/>
    </row>
    <row r="42" spans="14:14" x14ac:dyDescent="0.3">
      <c r="N42" s="28"/>
    </row>
    <row r="43" spans="14:14" x14ac:dyDescent="0.3">
      <c r="N43" s="28"/>
    </row>
    <row r="44" spans="14:14" x14ac:dyDescent="0.3">
      <c r="N44" s="28"/>
    </row>
    <row r="45" spans="14:14" x14ac:dyDescent="0.3">
      <c r="N45" s="28"/>
    </row>
    <row r="46" spans="14:14" x14ac:dyDescent="0.3">
      <c r="N46" s="28"/>
    </row>
    <row r="47" spans="14:14" x14ac:dyDescent="0.3">
      <c r="N47" s="28"/>
    </row>
    <row r="48" spans="14:14" x14ac:dyDescent="0.3">
      <c r="N48" s="28"/>
    </row>
    <row r="49" spans="14:14" x14ac:dyDescent="0.3">
      <c r="N49" s="28"/>
    </row>
    <row r="50" spans="14:14" x14ac:dyDescent="0.3">
      <c r="N50" s="28"/>
    </row>
    <row r="51" spans="14:14" x14ac:dyDescent="0.3">
      <c r="N51" s="28"/>
    </row>
    <row r="52" spans="14:14" x14ac:dyDescent="0.3">
      <c r="N52" s="28"/>
    </row>
    <row r="53" spans="14:14" x14ac:dyDescent="0.3">
      <c r="N53" s="28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6" customWidth="1"/>
    <col min="2" max="3" width="7.77734375" style="27" customWidth="1"/>
    <col min="4" max="4" width="7.109375" style="27" customWidth="1"/>
    <col min="5" max="6" width="7.77734375" style="27" customWidth="1"/>
    <col min="7" max="7" width="7.109375" style="27" customWidth="1"/>
    <col min="8" max="9" width="7.77734375" style="27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thickBot="1" x14ac:dyDescent="0.35">
      <c r="A1" s="181"/>
      <c r="B1" s="24"/>
      <c r="C1" s="24"/>
      <c r="D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1"/>
      <c r="B2" s="24"/>
      <c r="C2" s="24"/>
      <c r="D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3" t="s">
        <v>607</v>
      </c>
      <c r="B4" s="243"/>
      <c r="C4" s="243"/>
      <c r="D4" s="243"/>
      <c r="E4" s="243"/>
      <c r="F4" s="243"/>
      <c r="G4" s="243"/>
      <c r="H4" s="243"/>
      <c r="I4" s="243"/>
      <c r="J4" s="145" t="s">
        <v>695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97" t="s">
        <v>718</v>
      </c>
      <c r="B5" s="893" t="s">
        <v>952</v>
      </c>
      <c r="C5" s="894"/>
      <c r="D5" s="894"/>
      <c r="E5" s="893" t="s">
        <v>958</v>
      </c>
      <c r="F5" s="894"/>
      <c r="G5" s="895"/>
      <c r="H5" s="896" t="s">
        <v>961</v>
      </c>
      <c r="I5" s="894"/>
      <c r="J5" s="894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98"/>
      <c r="B6" s="718" t="s">
        <v>2</v>
      </c>
      <c r="C6" s="719" t="s">
        <v>154</v>
      </c>
      <c r="D6" s="719" t="s">
        <v>184</v>
      </c>
      <c r="E6" s="718" t="s">
        <v>2</v>
      </c>
      <c r="F6" s="719" t="s">
        <v>154</v>
      </c>
      <c r="G6" s="720" t="s">
        <v>184</v>
      </c>
      <c r="H6" s="721" t="s">
        <v>2</v>
      </c>
      <c r="I6" s="719" t="s">
        <v>154</v>
      </c>
      <c r="J6" s="719" t="s">
        <v>184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97" t="s">
        <v>95</v>
      </c>
      <c r="B7" s="598">
        <f>+B11+B15</f>
        <v>11568.786</v>
      </c>
      <c r="C7" s="599">
        <f>C11+C15</f>
        <v>356.53199999999998</v>
      </c>
      <c r="D7" s="600">
        <f t="shared" ref="D7:D18" si="0">IFERROR(C7*100/B7,0)</f>
        <v>3.0818445427203853</v>
      </c>
      <c r="E7" s="598">
        <f>E11+E15</f>
        <v>12582.933999999999</v>
      </c>
      <c r="F7" s="599">
        <f>F11+F15</f>
        <v>366.43399999999997</v>
      </c>
      <c r="G7" s="601">
        <f t="shared" ref="G7:G18" si="1">IFERROR(F7*100/E7,0)</f>
        <v>2.9121506955373047</v>
      </c>
      <c r="H7" s="599">
        <f>H11+H15</f>
        <v>13940.929</v>
      </c>
      <c r="I7" s="599">
        <f>I11+I15</f>
        <v>375.95499999999998</v>
      </c>
      <c r="J7" s="600">
        <f t="shared" ref="J7:J18" si="2">IFERROR(I7*100/H7,0)</f>
        <v>2.6967714992307901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567" t="s">
        <v>197</v>
      </c>
      <c r="B8" s="602">
        <f t="shared" ref="B8:B10" si="3">+B12+B16</f>
        <v>10501.447</v>
      </c>
      <c r="C8" s="603">
        <f t="shared" ref="C8:C10" si="4">C12+C16</f>
        <v>84.566000000000003</v>
      </c>
      <c r="D8" s="604">
        <f t="shared" si="0"/>
        <v>0.80527950100590906</v>
      </c>
      <c r="E8" s="602">
        <f t="shared" ref="E8:E10" si="5">+E12+E16</f>
        <v>11473.602999999999</v>
      </c>
      <c r="F8" s="603">
        <f t="shared" ref="F8:F10" si="6">F12+F16</f>
        <v>85.507000000000005</v>
      </c>
      <c r="G8" s="605">
        <f t="shared" si="1"/>
        <v>0.74524977027704387</v>
      </c>
      <c r="H8" s="603">
        <f t="shared" ref="H8:H10" si="7">+H12+H16</f>
        <v>12793.292000000001</v>
      </c>
      <c r="I8" s="603">
        <f t="shared" ref="I8:I10" si="8">I12+I16</f>
        <v>92.15</v>
      </c>
      <c r="J8" s="604">
        <f t="shared" si="2"/>
        <v>0.72029935688171576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7" t="s">
        <v>198</v>
      </c>
      <c r="B9" s="602">
        <f t="shared" si="3"/>
        <v>826.29399999999998</v>
      </c>
      <c r="C9" s="603">
        <f t="shared" si="4"/>
        <v>88.549000000000007</v>
      </c>
      <c r="D9" s="604">
        <f t="shared" si="0"/>
        <v>10.716403604528173</v>
      </c>
      <c r="E9" s="602">
        <f t="shared" si="5"/>
        <v>832.95100000000002</v>
      </c>
      <c r="F9" s="603">
        <f t="shared" si="6"/>
        <v>84.361000000000004</v>
      </c>
      <c r="G9" s="605">
        <f t="shared" si="1"/>
        <v>10.127966711127065</v>
      </c>
      <c r="H9" s="603">
        <f t="shared" si="7"/>
        <v>903.97899999999993</v>
      </c>
      <c r="I9" s="603">
        <f t="shared" si="8"/>
        <v>93.203999999999994</v>
      </c>
      <c r="J9" s="604">
        <f t="shared" si="2"/>
        <v>10.310416503038235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606" t="s">
        <v>199</v>
      </c>
      <c r="B10" s="607">
        <f t="shared" si="3"/>
        <v>241.04500000000002</v>
      </c>
      <c r="C10" s="608">
        <f t="shared" si="4"/>
        <v>183.417</v>
      </c>
      <c r="D10" s="604">
        <f t="shared" si="0"/>
        <v>76.092430873903211</v>
      </c>
      <c r="E10" s="607">
        <f t="shared" si="5"/>
        <v>276.38</v>
      </c>
      <c r="F10" s="608">
        <f t="shared" si="6"/>
        <v>196.566</v>
      </c>
      <c r="G10" s="605">
        <f t="shared" si="1"/>
        <v>71.12164411317751</v>
      </c>
      <c r="H10" s="608">
        <f t="shared" si="7"/>
        <v>243.65800000000002</v>
      </c>
      <c r="I10" s="608">
        <f t="shared" si="8"/>
        <v>190.601</v>
      </c>
      <c r="J10" s="604">
        <f t="shared" si="2"/>
        <v>78.224806901476654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609" t="s">
        <v>185</v>
      </c>
      <c r="B11" s="598">
        <f>SUM(B12:B14)</f>
        <v>10175.611999999999</v>
      </c>
      <c r="C11" s="599">
        <f>SUM(C12:C14)</f>
        <v>339.57399999999996</v>
      </c>
      <c r="D11" s="600">
        <f t="shared" si="0"/>
        <v>3.337135889222191</v>
      </c>
      <c r="E11" s="598">
        <f>SUM(E12:E14)</f>
        <v>11006.371999999999</v>
      </c>
      <c r="F11" s="599">
        <f>SUM(F12:F14)</f>
        <v>349.52499999999998</v>
      </c>
      <c r="G11" s="601">
        <f t="shared" si="1"/>
        <v>3.1756604265238355</v>
      </c>
      <c r="H11" s="599">
        <f>SUM(H12:H14)</f>
        <v>12220.278</v>
      </c>
      <c r="I11" s="599">
        <f>SUM(I12:I14)</f>
        <v>361.36799999999999</v>
      </c>
      <c r="J11" s="600">
        <f t="shared" si="2"/>
        <v>2.9571176694998265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610" t="s">
        <v>197</v>
      </c>
      <c r="B12" s="602">
        <v>9239.5859999999993</v>
      </c>
      <c r="C12" s="603">
        <v>76.266000000000005</v>
      </c>
      <c r="D12" s="604">
        <f t="shared" si="0"/>
        <v>0.82542659378894256</v>
      </c>
      <c r="E12" s="602">
        <v>10002.715</v>
      </c>
      <c r="F12" s="603">
        <v>76.712000000000003</v>
      </c>
      <c r="G12" s="605">
        <f t="shared" si="1"/>
        <v>0.76691178345079314</v>
      </c>
      <c r="H12" s="611">
        <v>11199.163</v>
      </c>
      <c r="I12" s="603">
        <v>83.308000000000007</v>
      </c>
      <c r="J12" s="604">
        <f t="shared" si="2"/>
        <v>0.74387702009516254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610" t="s">
        <v>198</v>
      </c>
      <c r="B13" s="602">
        <v>697.125</v>
      </c>
      <c r="C13" s="603">
        <v>80.304000000000002</v>
      </c>
      <c r="D13" s="604">
        <f t="shared" si="0"/>
        <v>11.519311457772996</v>
      </c>
      <c r="E13" s="602">
        <v>737.90899999999999</v>
      </c>
      <c r="F13" s="603">
        <v>80.12</v>
      </c>
      <c r="G13" s="605">
        <f t="shared" si="1"/>
        <v>10.857707386683183</v>
      </c>
      <c r="H13" s="603">
        <v>783.53099999999995</v>
      </c>
      <c r="I13" s="603">
        <v>88.787999999999997</v>
      </c>
      <c r="J13" s="604">
        <f t="shared" si="2"/>
        <v>11.331778831979845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612" t="s">
        <v>199</v>
      </c>
      <c r="B14" s="613">
        <v>238.90100000000001</v>
      </c>
      <c r="C14" s="614">
        <v>183.00399999999999</v>
      </c>
      <c r="D14" s="604">
        <f t="shared" si="0"/>
        <v>76.602442015730347</v>
      </c>
      <c r="E14" s="613">
        <v>265.74799999999999</v>
      </c>
      <c r="F14" s="614">
        <v>192.69300000000001</v>
      </c>
      <c r="G14" s="605">
        <f t="shared" si="1"/>
        <v>72.509670815961002</v>
      </c>
      <c r="H14" s="614">
        <v>237.584</v>
      </c>
      <c r="I14" s="614">
        <v>189.27199999999999</v>
      </c>
      <c r="J14" s="604">
        <f t="shared" si="2"/>
        <v>79.665297326419292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615" t="s">
        <v>192</v>
      </c>
      <c r="B15" s="598">
        <f>SUM(B16:B18)</f>
        <v>1393.1740000000002</v>
      </c>
      <c r="C15" s="599">
        <f>SUM(C16:C18)</f>
        <v>16.958000000000002</v>
      </c>
      <c r="D15" s="600">
        <f t="shared" si="0"/>
        <v>1.2172205338313806</v>
      </c>
      <c r="E15" s="598">
        <f>SUM(E16:E18)</f>
        <v>1576.5619999999999</v>
      </c>
      <c r="F15" s="599">
        <f>SUM(F16:F18)</f>
        <v>16.908999999999999</v>
      </c>
      <c r="G15" s="601">
        <f t="shared" si="1"/>
        <v>1.0725236305327668</v>
      </c>
      <c r="H15" s="599">
        <f>SUM(H16:H18)</f>
        <v>1720.6510000000001</v>
      </c>
      <c r="I15" s="599">
        <f>SUM(I16:I18)</f>
        <v>14.587000000000002</v>
      </c>
      <c r="J15" s="600">
        <f t="shared" si="2"/>
        <v>0.84776052784672773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567" t="s">
        <v>197</v>
      </c>
      <c r="B16" s="602">
        <v>1261.8610000000001</v>
      </c>
      <c r="C16" s="603">
        <v>8.3000000000000007</v>
      </c>
      <c r="D16" s="604">
        <f t="shared" si="0"/>
        <v>0.65775865963049818</v>
      </c>
      <c r="E16" s="602">
        <v>1470.8879999999999</v>
      </c>
      <c r="F16" s="603">
        <v>8.7949999999999999</v>
      </c>
      <c r="G16" s="605">
        <f t="shared" si="1"/>
        <v>0.59793811629437454</v>
      </c>
      <c r="H16" s="603">
        <v>1594.1289999999999</v>
      </c>
      <c r="I16" s="603">
        <v>8.8420000000000005</v>
      </c>
      <c r="J16" s="604">
        <f t="shared" si="2"/>
        <v>0.55466025647861628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7" t="s">
        <v>198</v>
      </c>
      <c r="B17" s="602">
        <v>129.16900000000001</v>
      </c>
      <c r="C17" s="603">
        <v>8.2449999999999992</v>
      </c>
      <c r="D17" s="604">
        <f t="shared" si="0"/>
        <v>6.3831104986490557</v>
      </c>
      <c r="E17" s="602">
        <v>95.042000000000002</v>
      </c>
      <c r="F17" s="603">
        <v>4.2409999999999997</v>
      </c>
      <c r="G17" s="605">
        <f t="shared" si="1"/>
        <v>4.4622377475221473</v>
      </c>
      <c r="H17" s="603">
        <v>120.44799999999999</v>
      </c>
      <c r="I17" s="603">
        <v>4.4160000000000004</v>
      </c>
      <c r="J17" s="604">
        <f t="shared" si="2"/>
        <v>3.6663124335812971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9" t="s">
        <v>199</v>
      </c>
      <c r="B18" s="616">
        <v>2.1440000000000001</v>
      </c>
      <c r="C18" s="617">
        <v>0.41299999999999998</v>
      </c>
      <c r="D18" s="604">
        <f t="shared" si="0"/>
        <v>19.263059701492534</v>
      </c>
      <c r="E18" s="616">
        <v>10.632</v>
      </c>
      <c r="F18" s="617">
        <v>3.8730000000000002</v>
      </c>
      <c r="G18" s="618">
        <f t="shared" si="1"/>
        <v>36.427765237020317</v>
      </c>
      <c r="H18" s="617">
        <v>6.0739999999999998</v>
      </c>
      <c r="I18" s="617">
        <v>1.329</v>
      </c>
      <c r="J18" s="604">
        <f t="shared" si="2"/>
        <v>21.88014487981561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891"/>
      <c r="B19" s="892"/>
      <c r="C19" s="892"/>
      <c r="D19" s="892"/>
      <c r="E19" s="892"/>
      <c r="F19" s="892"/>
      <c r="G19" s="892"/>
      <c r="H19" s="892"/>
      <c r="I19" s="892"/>
      <c r="J19" s="892"/>
    </row>
    <row r="20" spans="1:177" x14ac:dyDescent="0.3">
      <c r="A20" s="244"/>
    </row>
    <row r="21" spans="1:177" x14ac:dyDescent="0.3">
      <c r="A21" s="244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6" customWidth="1"/>
    <col min="2" max="2" width="7.88671875" style="27" bestFit="1" customWidth="1"/>
    <col min="3" max="3" width="6.44140625" style="27" bestFit="1" customWidth="1"/>
    <col min="4" max="4" width="7.33203125" style="27" customWidth="1"/>
    <col min="5" max="5" width="7.88671875" style="27" bestFit="1" customWidth="1"/>
    <col min="6" max="6" width="6.44140625" style="27" bestFit="1" customWidth="1"/>
    <col min="7" max="7" width="7.33203125" style="27" customWidth="1"/>
    <col min="8" max="8" width="8.88671875" style="27" customWidth="1"/>
    <col min="9" max="9" width="6.44140625" style="27" bestFit="1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idden="1" x14ac:dyDescent="0.3">
      <c r="A1" s="181"/>
      <c r="B1" s="24"/>
      <c r="C1" s="24"/>
      <c r="D1" s="24"/>
      <c r="E1" s="24"/>
      <c r="F1" s="24"/>
      <c r="G1" s="24"/>
      <c r="H1" s="24"/>
      <c r="I1" s="24"/>
      <c r="J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181"/>
      <c r="B2" s="24"/>
      <c r="C2" s="24"/>
      <c r="D2" s="24"/>
      <c r="E2" s="24"/>
      <c r="F2" s="24"/>
      <c r="G2" s="24"/>
      <c r="H2" s="24"/>
      <c r="I2" s="24"/>
      <c r="J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181"/>
      <c r="B3" s="24"/>
      <c r="C3" s="24"/>
      <c r="D3" s="24"/>
      <c r="E3" s="24"/>
      <c r="F3" s="24"/>
      <c r="G3" s="24"/>
      <c r="H3" s="24"/>
      <c r="I3" s="24"/>
      <c r="J3" s="24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5" t="s">
        <v>799</v>
      </c>
      <c r="B4" s="245"/>
      <c r="C4" s="245"/>
      <c r="D4" s="245"/>
      <c r="E4" s="245"/>
      <c r="F4" s="245"/>
      <c r="G4" s="245"/>
      <c r="H4" s="245"/>
      <c r="I4" s="245"/>
      <c r="J4" s="145" t="s">
        <v>695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899" t="s">
        <v>200</v>
      </c>
      <c r="B5" s="886" t="s">
        <v>952</v>
      </c>
      <c r="C5" s="887"/>
      <c r="D5" s="888"/>
      <c r="E5" s="886" t="s">
        <v>958</v>
      </c>
      <c r="F5" s="887"/>
      <c r="G5" s="888"/>
      <c r="H5" s="900" t="str">
        <f>'Pr 3'!K1</f>
        <v>2025.</v>
      </c>
      <c r="I5" s="900"/>
      <c r="J5" s="900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99"/>
      <c r="B6" s="756" t="s">
        <v>2</v>
      </c>
      <c r="C6" s="757" t="s">
        <v>154</v>
      </c>
      <c r="D6" s="758" t="s">
        <v>184</v>
      </c>
      <c r="E6" s="756" t="s">
        <v>2</v>
      </c>
      <c r="F6" s="757" t="s">
        <v>154</v>
      </c>
      <c r="G6" s="758" t="s">
        <v>184</v>
      </c>
      <c r="H6" s="759" t="s">
        <v>2</v>
      </c>
      <c r="I6" s="757" t="s">
        <v>154</v>
      </c>
      <c r="J6" s="757" t="s">
        <v>184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66" t="s">
        <v>201</v>
      </c>
      <c r="B7" s="760">
        <f>+B10+B13+B16</f>
        <v>6056.5429999999997</v>
      </c>
      <c r="C7" s="761">
        <f>+C10+C13+C16</f>
        <v>314.91500000000002</v>
      </c>
      <c r="D7" s="762">
        <f>IFERROR(C7*100/B7,0)</f>
        <v>5.1995833266601101</v>
      </c>
      <c r="E7" s="760">
        <f>+E10+E13+E16</f>
        <v>6695.1630000000005</v>
      </c>
      <c r="F7" s="761">
        <f>+F10+F13+F16</f>
        <v>327.17099999999999</v>
      </c>
      <c r="G7" s="762">
        <f>IFERROR(F7*100/E7,0)</f>
        <v>4.8866771428865876</v>
      </c>
      <c r="H7" s="761">
        <f>+H10+H13+H16</f>
        <v>7324.8780000000006</v>
      </c>
      <c r="I7" s="761">
        <f>+I10+I13+I16</f>
        <v>336.37299999999999</v>
      </c>
      <c r="J7" s="763">
        <f>IFERROR(I7*100/H7,0)</f>
        <v>4.5921993513066006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567" t="s">
        <v>898</v>
      </c>
      <c r="B8" s="602">
        <f t="shared" ref="B8:I9" si="0">+B11+B14+B17</f>
        <v>3038.5990000000002</v>
      </c>
      <c r="C8" s="603">
        <f t="shared" si="0"/>
        <v>158.84800000000001</v>
      </c>
      <c r="D8" s="764">
        <f t="shared" ref="D8:D18" si="1">IFERROR(C8*100/B8,0)</f>
        <v>5.2276723582150852</v>
      </c>
      <c r="E8" s="602">
        <f t="shared" ref="E8:F8" si="2">+E11+E14+E17</f>
        <v>3391.9029999999998</v>
      </c>
      <c r="F8" s="603">
        <f t="shared" si="2"/>
        <v>172.827</v>
      </c>
      <c r="G8" s="764">
        <f>IFERROR(F8*100/E8,0)</f>
        <v>5.0952813214292982</v>
      </c>
      <c r="H8" s="603">
        <f t="shared" ref="H8:I8" si="3">+H11+H14+H17</f>
        <v>3583.1379999999999</v>
      </c>
      <c r="I8" s="603">
        <f t="shared" si="3"/>
        <v>180.86</v>
      </c>
      <c r="J8" s="765">
        <f>IFERROR(I8*100/H8,0)</f>
        <v>5.0475309630831973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8" t="s">
        <v>789</v>
      </c>
      <c r="B9" s="766">
        <f t="shared" si="0"/>
        <v>3017.944</v>
      </c>
      <c r="C9" s="767">
        <f t="shared" si="0"/>
        <v>156.06700000000001</v>
      </c>
      <c r="D9" s="768">
        <f t="shared" si="1"/>
        <v>5.1713020519930124</v>
      </c>
      <c r="E9" s="766">
        <f t="shared" si="0"/>
        <v>3303.26</v>
      </c>
      <c r="F9" s="767">
        <f t="shared" si="0"/>
        <v>154.34399999999999</v>
      </c>
      <c r="G9" s="768">
        <f>IFERROR(F9*100/E9,0)</f>
        <v>4.6724750700822817</v>
      </c>
      <c r="H9" s="767">
        <f t="shared" si="0"/>
        <v>3741.7400000000002</v>
      </c>
      <c r="I9" s="767">
        <f t="shared" si="0"/>
        <v>155.51300000000001</v>
      </c>
      <c r="J9" s="769">
        <f>IFERROR(I9*100/H9,0)</f>
        <v>4.1561679860172003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566" t="s">
        <v>197</v>
      </c>
      <c r="B10" s="770">
        <f>+B11+B12</f>
        <v>5143.0889999999999</v>
      </c>
      <c r="C10" s="771">
        <f>+C11+C12</f>
        <v>68.38900000000001</v>
      </c>
      <c r="D10" s="772">
        <f>IFERROR(C10*100/B10,0)</f>
        <v>1.3297261626232799</v>
      </c>
      <c r="E10" s="770">
        <f>+E11+E12</f>
        <v>5714.0010000000002</v>
      </c>
      <c r="F10" s="771">
        <f>+F11+F12</f>
        <v>69.738</v>
      </c>
      <c r="G10" s="772">
        <f>IFERROR(F10*100/E10,0)</f>
        <v>1.2204758102072435</v>
      </c>
      <c r="H10" s="771">
        <f>+H11+H12</f>
        <v>6326.8760000000002</v>
      </c>
      <c r="I10" s="771">
        <f>+I11+I12</f>
        <v>75.419999999999987</v>
      </c>
      <c r="J10" s="773">
        <f>IFERROR(I10*100/H10,0)</f>
        <v>1.1920575019962456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567" t="s">
        <v>898</v>
      </c>
      <c r="B11" s="602">
        <v>2481.7440000000001</v>
      </c>
      <c r="C11" s="603">
        <v>32.789000000000001</v>
      </c>
      <c r="D11" s="605">
        <f t="shared" si="1"/>
        <v>1.3212079892204835</v>
      </c>
      <c r="E11" s="602">
        <v>2762.6170000000002</v>
      </c>
      <c r="F11" s="603">
        <v>32.9</v>
      </c>
      <c r="G11" s="605">
        <f t="shared" ref="G11:G18" si="4">IFERROR(F11*100/E11,0)</f>
        <v>1.1908997881356698</v>
      </c>
      <c r="H11" s="603">
        <f>+'Pr 3'!B5</f>
        <v>2969.5950000000003</v>
      </c>
      <c r="I11" s="603">
        <f>+'Pr 3'!F5</f>
        <v>38.830999999999996</v>
      </c>
      <c r="J11" s="604">
        <f t="shared" ref="J11:J18" si="5">IFERROR(I11*100/H11,0)</f>
        <v>1.3076193891759649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568" t="s">
        <v>789</v>
      </c>
      <c r="B12" s="602">
        <v>2661.3449999999998</v>
      </c>
      <c r="C12" s="603">
        <v>35.6</v>
      </c>
      <c r="D12" s="605">
        <f t="shared" si="1"/>
        <v>1.3376694866693346</v>
      </c>
      <c r="E12" s="602">
        <v>2951.384</v>
      </c>
      <c r="F12" s="603">
        <v>36.838000000000001</v>
      </c>
      <c r="G12" s="605">
        <f t="shared" si="4"/>
        <v>1.2481601851876951</v>
      </c>
      <c r="H12" s="603">
        <f>+'Pr 3'!B27</f>
        <v>3357.2809999999999</v>
      </c>
      <c r="I12" s="603">
        <f>+'Pr 3'!F27</f>
        <v>36.588999999999999</v>
      </c>
      <c r="J12" s="604">
        <f t="shared" si="5"/>
        <v>1.0898402606156588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566" t="s">
        <v>198</v>
      </c>
      <c r="B13" s="760">
        <f>+B14+B15</f>
        <v>692.94899999999996</v>
      </c>
      <c r="C13" s="761">
        <f>+C14+C15</f>
        <v>79.715000000000003</v>
      </c>
      <c r="D13" s="774">
        <f>IFERROR(C13*100/B13,0)</f>
        <v>11.503732597925678</v>
      </c>
      <c r="E13" s="760">
        <f>+E14+E15</f>
        <v>731.87400000000002</v>
      </c>
      <c r="F13" s="761">
        <f>+F14+F15</f>
        <v>79.466000000000008</v>
      </c>
      <c r="G13" s="774">
        <f>IFERROR(F13*100/E13,0)</f>
        <v>10.857879908290226</v>
      </c>
      <c r="H13" s="761">
        <f>+H14+H15</f>
        <v>778.95600000000002</v>
      </c>
      <c r="I13" s="761">
        <f>+I14+I15</f>
        <v>88.247</v>
      </c>
      <c r="J13" s="775">
        <f>IFERROR(I13*100/H13,0)</f>
        <v>11.328881220505394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567" t="s">
        <v>898</v>
      </c>
      <c r="B14" s="602">
        <v>439.27199999999999</v>
      </c>
      <c r="C14" s="603">
        <v>46.003999999999998</v>
      </c>
      <c r="D14" s="605">
        <f t="shared" si="1"/>
        <v>10.472782239705694</v>
      </c>
      <c r="E14" s="602">
        <v>478.00799999999998</v>
      </c>
      <c r="F14" s="603">
        <v>44.953000000000003</v>
      </c>
      <c r="G14" s="605">
        <f t="shared" si="4"/>
        <v>9.4042359123696677</v>
      </c>
      <c r="H14" s="603">
        <f>+'Pr 3'!C5</f>
        <v>490.53499999999997</v>
      </c>
      <c r="I14" s="603">
        <f>+'Pr 3'!G5</f>
        <v>52.758000000000003</v>
      </c>
      <c r="J14" s="604">
        <f t="shared" si="5"/>
        <v>10.755195857584068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568" t="s">
        <v>789</v>
      </c>
      <c r="B15" s="766">
        <v>253.67699999999999</v>
      </c>
      <c r="C15" s="767">
        <v>33.710999999999999</v>
      </c>
      <c r="D15" s="776">
        <f t="shared" si="1"/>
        <v>13.288946179590582</v>
      </c>
      <c r="E15" s="766">
        <v>253.86600000000001</v>
      </c>
      <c r="F15" s="767">
        <v>34.512999999999998</v>
      </c>
      <c r="G15" s="776">
        <f t="shared" si="4"/>
        <v>13.594967423758989</v>
      </c>
      <c r="H15" s="767">
        <f>+'Pr 3'!C27</f>
        <v>288.42100000000005</v>
      </c>
      <c r="I15" s="767">
        <f>+'Pr 3'!G27</f>
        <v>35.488999999999997</v>
      </c>
      <c r="J15" s="777">
        <f t="shared" si="5"/>
        <v>12.304582537332577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566" t="s">
        <v>199</v>
      </c>
      <c r="B16" s="770">
        <f>+B17+B18</f>
        <v>220.505</v>
      </c>
      <c r="C16" s="771">
        <f>+C17+C18</f>
        <v>166.81100000000001</v>
      </c>
      <c r="D16" s="772">
        <f>IFERROR(C16*100/B16,0)</f>
        <v>75.649531756649523</v>
      </c>
      <c r="E16" s="770">
        <f>+E17+E18</f>
        <v>249.28800000000001</v>
      </c>
      <c r="F16" s="771">
        <f>+F17+F18</f>
        <v>177.96699999999998</v>
      </c>
      <c r="G16" s="772">
        <f>IFERROR(F16*100/E16,0)</f>
        <v>71.390119059080249</v>
      </c>
      <c r="H16" s="771">
        <f>+H17+H18</f>
        <v>219.04599999999999</v>
      </c>
      <c r="I16" s="771">
        <f>+I17+I18</f>
        <v>172.70600000000002</v>
      </c>
      <c r="J16" s="773">
        <f>IFERROR(I16*100/H16,0)</f>
        <v>78.844626242889632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7" t="s">
        <v>898</v>
      </c>
      <c r="B17" s="602">
        <v>117.583</v>
      </c>
      <c r="C17" s="603">
        <v>80.055000000000007</v>
      </c>
      <c r="D17" s="605">
        <f t="shared" si="1"/>
        <v>68.083821640883471</v>
      </c>
      <c r="E17" s="602">
        <v>151.27799999999999</v>
      </c>
      <c r="F17" s="603">
        <v>94.974000000000004</v>
      </c>
      <c r="G17" s="605">
        <f t="shared" si="4"/>
        <v>62.781104985523342</v>
      </c>
      <c r="H17" s="603">
        <f>+'Pr 3'!D5</f>
        <v>123.008</v>
      </c>
      <c r="I17" s="603">
        <f>+'Pr 3'!H5</f>
        <v>89.271000000000001</v>
      </c>
      <c r="J17" s="604">
        <f t="shared" si="5"/>
        <v>72.573328563995844</v>
      </c>
      <c r="P17" s="146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9" t="s">
        <v>789</v>
      </c>
      <c r="B18" s="616">
        <v>102.922</v>
      </c>
      <c r="C18" s="617">
        <v>86.756</v>
      </c>
      <c r="D18" s="778">
        <f t="shared" si="1"/>
        <v>84.292959717067305</v>
      </c>
      <c r="E18" s="616">
        <v>98.01</v>
      </c>
      <c r="F18" s="617">
        <v>82.992999999999995</v>
      </c>
      <c r="G18" s="778">
        <f t="shared" si="4"/>
        <v>84.67809407203346</v>
      </c>
      <c r="H18" s="617">
        <f>+'Pr 3'!D27</f>
        <v>96.038000000000011</v>
      </c>
      <c r="I18" s="617">
        <f>+'Pr 3'!H27</f>
        <v>83.435000000000002</v>
      </c>
      <c r="J18" s="779">
        <f t="shared" si="5"/>
        <v>86.87706949332555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30"/>
      <c r="B20" s="38"/>
      <c r="C20" s="38"/>
      <c r="D20" s="38"/>
      <c r="E20" s="38"/>
      <c r="F20" s="38"/>
      <c r="G20" s="38"/>
      <c r="H20" s="38"/>
      <c r="I20" s="38"/>
      <c r="J20" s="38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259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5"/>
      <c r="C1" s="35"/>
      <c r="D1" s="35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142" t="s">
        <v>609</v>
      </c>
      <c r="B3" s="260"/>
      <c r="C3" s="260"/>
      <c r="D3" s="260"/>
      <c r="E3" s="260"/>
      <c r="F3" s="142"/>
      <c r="G3" s="142"/>
      <c r="H3" s="142"/>
      <c r="I3" s="145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903" t="s">
        <v>115</v>
      </c>
      <c r="B4" s="907" t="s">
        <v>958</v>
      </c>
      <c r="C4" s="908"/>
      <c r="D4" s="908"/>
      <c r="E4" s="909"/>
      <c r="F4" s="907" t="s">
        <v>961</v>
      </c>
      <c r="G4" s="908"/>
      <c r="H4" s="908"/>
      <c r="I4" s="908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6" customHeight="1" x14ac:dyDescent="0.3">
      <c r="A5" s="903"/>
      <c r="B5" s="905" t="s">
        <v>923</v>
      </c>
      <c r="C5" s="906"/>
      <c r="D5" s="906" t="s">
        <v>926</v>
      </c>
      <c r="E5" s="910"/>
      <c r="F5" s="905" t="s">
        <v>923</v>
      </c>
      <c r="G5" s="906"/>
      <c r="H5" s="906" t="s">
        <v>926</v>
      </c>
      <c r="I5" s="906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904"/>
      <c r="B6" s="780" t="s">
        <v>116</v>
      </c>
      <c r="C6" s="781" t="s">
        <v>117</v>
      </c>
      <c r="D6" s="781" t="s">
        <v>116</v>
      </c>
      <c r="E6" s="782" t="s">
        <v>117</v>
      </c>
      <c r="F6" s="780" t="s">
        <v>116</v>
      </c>
      <c r="G6" s="781" t="s">
        <v>117</v>
      </c>
      <c r="H6" s="781" t="s">
        <v>116</v>
      </c>
      <c r="I6" s="781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253" t="s">
        <v>719</v>
      </c>
      <c r="B7" s="418">
        <v>5.0692000000000004</v>
      </c>
      <c r="C7" s="419">
        <v>5.9195000000000002</v>
      </c>
      <c r="D7" s="419">
        <v>2.2079</v>
      </c>
      <c r="E7" s="420">
        <v>2.4651999999999998</v>
      </c>
      <c r="F7" s="418">
        <v>4.7462999999999997</v>
      </c>
      <c r="G7" s="419">
        <v>5.3962000000000003</v>
      </c>
      <c r="H7" s="419">
        <v>2.1876000000000002</v>
      </c>
      <c r="I7" s="419">
        <v>2.4317000000000002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254" t="s">
        <v>720</v>
      </c>
      <c r="B8" s="412">
        <v>5.2507999999999999</v>
      </c>
      <c r="C8" s="413">
        <v>5.7446999999999999</v>
      </c>
      <c r="D8" s="413"/>
      <c r="E8" s="414"/>
      <c r="F8" s="412">
        <v>5.0240999999999998</v>
      </c>
      <c r="G8" s="413">
        <v>5.6002000000000001</v>
      </c>
      <c r="H8" s="413"/>
      <c r="I8" s="413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254" t="s">
        <v>721</v>
      </c>
      <c r="B9" s="412">
        <v>4.7731000000000003</v>
      </c>
      <c r="C9" s="413">
        <v>5.4364999999999997</v>
      </c>
      <c r="D9" s="413">
        <v>2.1663999999999999</v>
      </c>
      <c r="E9" s="414">
        <v>2.3815</v>
      </c>
      <c r="F9" s="412">
        <v>4.4485999999999999</v>
      </c>
      <c r="G9" s="413">
        <v>4.9764999999999997</v>
      </c>
      <c r="H9" s="413">
        <v>2.13</v>
      </c>
      <c r="I9" s="413">
        <v>2.331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254" t="s">
        <v>782</v>
      </c>
      <c r="B10" s="412">
        <v>4.0608000000000004</v>
      </c>
      <c r="C10" s="413">
        <v>4.5400999999999998</v>
      </c>
      <c r="D10" s="413"/>
      <c r="E10" s="414"/>
      <c r="F10" s="412">
        <v>5.1393000000000004</v>
      </c>
      <c r="G10" s="413">
        <v>5.7443</v>
      </c>
      <c r="H10" s="413">
        <v>6.1</v>
      </c>
      <c r="I10" s="413">
        <v>6.96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254" t="s">
        <v>722</v>
      </c>
      <c r="B11" s="412">
        <v>9.2645</v>
      </c>
      <c r="C11" s="413">
        <v>13.097799999999999</v>
      </c>
      <c r="D11" s="413">
        <v>7.3223000000000003</v>
      </c>
      <c r="E11" s="414">
        <v>12.8081</v>
      </c>
      <c r="F11" s="412">
        <v>8.5845000000000002</v>
      </c>
      <c r="G11" s="413">
        <v>11.305099999999999</v>
      </c>
      <c r="H11" s="413">
        <v>7.1788999999999996</v>
      </c>
      <c r="I11" s="413">
        <v>12.013500000000001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255" t="s">
        <v>723</v>
      </c>
      <c r="B12" s="415">
        <v>5.3734000000000002</v>
      </c>
      <c r="C12" s="416">
        <v>5.6879</v>
      </c>
      <c r="D12" s="416">
        <v>3.875</v>
      </c>
      <c r="E12" s="417">
        <v>4.5599999999999996</v>
      </c>
      <c r="F12" s="415">
        <v>5.5065999999999997</v>
      </c>
      <c r="G12" s="416">
        <v>5.8007999999999997</v>
      </c>
      <c r="H12" s="416">
        <v>7.86</v>
      </c>
      <c r="I12" s="416">
        <v>10.029999999999999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256" t="s">
        <v>724</v>
      </c>
      <c r="B13" s="418">
        <v>5.9576000000000002</v>
      </c>
      <c r="C13" s="419">
        <v>6.9805000000000001</v>
      </c>
      <c r="D13" s="419">
        <v>5.1245000000000003</v>
      </c>
      <c r="E13" s="420">
        <v>7.1665000000000001</v>
      </c>
      <c r="F13" s="418">
        <v>5.851</v>
      </c>
      <c r="G13" s="419">
        <v>6.8202999999999996</v>
      </c>
      <c r="H13" s="419">
        <v>4.6913</v>
      </c>
      <c r="I13" s="419">
        <v>5.4589999999999996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254" t="s">
        <v>720</v>
      </c>
      <c r="B14" s="412">
        <v>5.9142999999999999</v>
      </c>
      <c r="C14" s="413">
        <v>6.1024000000000003</v>
      </c>
      <c r="D14" s="413">
        <v>4.5842999999999998</v>
      </c>
      <c r="E14" s="414">
        <v>4.6924999999999999</v>
      </c>
      <c r="F14" s="412">
        <v>5.9317000000000002</v>
      </c>
      <c r="G14" s="413">
        <v>6.2287999999999997</v>
      </c>
      <c r="H14" s="413"/>
      <c r="I14" s="413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254" t="s">
        <v>721</v>
      </c>
      <c r="B15" s="412">
        <v>5.8708</v>
      </c>
      <c r="C15" s="413">
        <v>6.3170000000000002</v>
      </c>
      <c r="D15" s="413">
        <v>4.4732000000000003</v>
      </c>
      <c r="E15" s="414">
        <v>4.2615999999999996</v>
      </c>
      <c r="F15" s="412">
        <v>5.7994000000000003</v>
      </c>
      <c r="G15" s="413">
        <v>6.3037000000000001</v>
      </c>
      <c r="H15" s="413">
        <v>4.0105000000000004</v>
      </c>
      <c r="I15" s="413">
        <v>4.2914000000000003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254" t="s">
        <v>782</v>
      </c>
      <c r="B16" s="412">
        <v>4.9379999999999997</v>
      </c>
      <c r="C16" s="413">
        <v>5.3959999999999999</v>
      </c>
      <c r="D16" s="413">
        <v>4</v>
      </c>
      <c r="E16" s="414">
        <v>4.13</v>
      </c>
      <c r="F16" s="412">
        <v>5.0045999999999999</v>
      </c>
      <c r="G16" s="413">
        <v>5.4592000000000001</v>
      </c>
      <c r="H16" s="413">
        <v>1.6517999999999999</v>
      </c>
      <c r="I16" s="413">
        <v>1.6936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254" t="s">
        <v>722</v>
      </c>
      <c r="B17" s="412">
        <v>6.0627000000000004</v>
      </c>
      <c r="C17" s="413">
        <v>7.6314000000000002</v>
      </c>
      <c r="D17" s="413">
        <v>5.5026999999999999</v>
      </c>
      <c r="E17" s="414">
        <v>8.8663000000000007</v>
      </c>
      <c r="F17" s="412">
        <v>5.9541000000000004</v>
      </c>
      <c r="G17" s="413">
        <v>7.3605999999999998</v>
      </c>
      <c r="H17" s="413">
        <v>4.9652000000000003</v>
      </c>
      <c r="I17" s="413">
        <v>5.9237000000000002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257" t="s">
        <v>725</v>
      </c>
      <c r="B18" s="412">
        <v>4.1180000000000003</v>
      </c>
      <c r="C18" s="413">
        <v>4.8419999999999996</v>
      </c>
      <c r="D18" s="413">
        <v>3.8786999999999998</v>
      </c>
      <c r="E18" s="414">
        <v>4.3975</v>
      </c>
      <c r="F18" s="412">
        <v>4.0712999999999999</v>
      </c>
      <c r="G18" s="413">
        <v>4.6029</v>
      </c>
      <c r="H18" s="413">
        <v>3.7383000000000002</v>
      </c>
      <c r="I18" s="413">
        <v>4.1912000000000003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255" t="s">
        <v>723</v>
      </c>
      <c r="B19" s="415">
        <v>5.4200999999999997</v>
      </c>
      <c r="C19" s="416">
        <v>5.8848000000000003</v>
      </c>
      <c r="D19" s="416">
        <v>5.0381999999999998</v>
      </c>
      <c r="E19" s="417">
        <v>5.3544</v>
      </c>
      <c r="F19" s="415">
        <v>4.8498999999999999</v>
      </c>
      <c r="G19" s="416">
        <v>5.2329999999999997</v>
      </c>
      <c r="H19" s="416">
        <v>5.1216999999999997</v>
      </c>
      <c r="I19" s="416">
        <v>5.4596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258" t="s">
        <v>726</v>
      </c>
      <c r="B20" s="421">
        <v>5.7686999999999999</v>
      </c>
      <c r="C20" s="422">
        <v>6.7549000000000001</v>
      </c>
      <c r="D20" s="422">
        <v>3.9554999999999998</v>
      </c>
      <c r="E20" s="423">
        <v>5.2821999999999996</v>
      </c>
      <c r="F20" s="421">
        <v>5.6135999999999999</v>
      </c>
      <c r="G20" s="422">
        <v>6.5141999999999998</v>
      </c>
      <c r="H20" s="422">
        <v>3.8165</v>
      </c>
      <c r="I20" s="422">
        <v>4.4012000000000002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901" t="s">
        <v>136</v>
      </c>
      <c r="B21" s="902"/>
      <c r="C21" s="902"/>
      <c r="D21" s="902"/>
      <c r="E21" s="902"/>
      <c r="F21" s="902"/>
      <c r="G21" s="902"/>
      <c r="H21" s="902"/>
      <c r="I21" s="902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x14ac:dyDescent="0.3">
      <c r="B1" s="35"/>
      <c r="C1" s="35"/>
      <c r="D1" s="35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142" t="s">
        <v>610</v>
      </c>
      <c r="B3" s="142"/>
      <c r="C3" s="142"/>
      <c r="D3" s="142"/>
      <c r="E3" s="142"/>
      <c r="F3" s="142"/>
      <c r="G3" s="142"/>
      <c r="H3" s="142"/>
      <c r="I3" s="145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34" customFormat="1" x14ac:dyDescent="0.25">
      <c r="A4" s="919" t="s">
        <v>115</v>
      </c>
      <c r="B4" s="913" t="s">
        <v>958</v>
      </c>
      <c r="C4" s="914"/>
      <c r="D4" s="914"/>
      <c r="E4" s="915"/>
      <c r="F4" s="914" t="s">
        <v>961</v>
      </c>
      <c r="G4" s="914"/>
      <c r="H4" s="914"/>
      <c r="I4" s="914"/>
    </row>
    <row r="5" spans="1:176" s="34" customFormat="1" ht="48" customHeight="1" x14ac:dyDescent="0.25">
      <c r="A5" s="920"/>
      <c r="B5" s="922" t="s">
        <v>923</v>
      </c>
      <c r="C5" s="916"/>
      <c r="D5" s="916" t="s">
        <v>926</v>
      </c>
      <c r="E5" s="917"/>
      <c r="F5" s="922" t="s">
        <v>923</v>
      </c>
      <c r="G5" s="916"/>
      <c r="H5" s="918" t="s">
        <v>926</v>
      </c>
      <c r="I5" s="918"/>
    </row>
    <row r="6" spans="1:176" s="34" customFormat="1" ht="12" customHeight="1" x14ac:dyDescent="0.25">
      <c r="A6" s="921"/>
      <c r="B6" s="783" t="s">
        <v>116</v>
      </c>
      <c r="C6" s="784" t="s">
        <v>117</v>
      </c>
      <c r="D6" s="784" t="s">
        <v>116</v>
      </c>
      <c r="E6" s="785" t="s">
        <v>117</v>
      </c>
      <c r="F6" s="784" t="s">
        <v>116</v>
      </c>
      <c r="G6" s="784" t="s">
        <v>117</v>
      </c>
      <c r="H6" s="784" t="s">
        <v>116</v>
      </c>
      <c r="I6" s="784" t="s">
        <v>117</v>
      </c>
    </row>
    <row r="7" spans="1:176" s="34" customFormat="1" ht="14.1" customHeight="1" x14ac:dyDescent="0.25">
      <c r="A7" s="786" t="s">
        <v>785</v>
      </c>
      <c r="B7" s="787">
        <v>2.0440999999999998</v>
      </c>
      <c r="C7" s="788">
        <v>2.0444</v>
      </c>
      <c r="D7" s="788">
        <v>1.4522999999999999</v>
      </c>
      <c r="E7" s="789">
        <v>1.4733000000000001</v>
      </c>
      <c r="F7" s="788">
        <v>1.5550999999999999</v>
      </c>
      <c r="G7" s="788">
        <v>1.5556000000000001</v>
      </c>
      <c r="H7" s="788">
        <v>0.95179999999999998</v>
      </c>
      <c r="I7" s="788">
        <v>0.95589999999999997</v>
      </c>
    </row>
    <row r="8" spans="1:176" s="34" customFormat="1" ht="14.1" customHeight="1" x14ac:dyDescent="0.25">
      <c r="A8" s="786" t="s">
        <v>784</v>
      </c>
      <c r="B8" s="787">
        <v>2.5760000000000001</v>
      </c>
      <c r="C8" s="788">
        <v>2.5716999999999999</v>
      </c>
      <c r="D8" s="788">
        <v>1.3809</v>
      </c>
      <c r="E8" s="789">
        <v>1.3893</v>
      </c>
      <c r="F8" s="788">
        <v>2.4352999999999998</v>
      </c>
      <c r="G8" s="788">
        <v>2.4356</v>
      </c>
      <c r="H8" s="788">
        <v>1.8637999999999999</v>
      </c>
      <c r="I8" s="788">
        <v>1.8682000000000001</v>
      </c>
    </row>
    <row r="9" spans="1:176" s="34" customFormat="1" ht="14.1" customHeight="1" thickBot="1" x14ac:dyDescent="0.3">
      <c r="A9" s="790" t="s">
        <v>783</v>
      </c>
      <c r="B9" s="791">
        <v>2.3975</v>
      </c>
      <c r="C9" s="792">
        <v>2.3946999999999998</v>
      </c>
      <c r="D9" s="792">
        <v>1.3992</v>
      </c>
      <c r="E9" s="793">
        <v>1.4108000000000001</v>
      </c>
      <c r="F9" s="792">
        <v>2.09</v>
      </c>
      <c r="G9" s="792">
        <v>2.0903</v>
      </c>
      <c r="H9" s="792">
        <v>1.7224999999999999</v>
      </c>
      <c r="I9" s="792">
        <v>1.7269000000000001</v>
      </c>
    </row>
    <row r="10" spans="1:176" s="34" customFormat="1" x14ac:dyDescent="0.25">
      <c r="A10" s="911" t="s">
        <v>136</v>
      </c>
      <c r="B10" s="912"/>
      <c r="C10" s="912"/>
      <c r="D10" s="912"/>
      <c r="E10" s="912"/>
      <c r="F10" s="912"/>
      <c r="G10" s="912"/>
      <c r="H10" s="912"/>
      <c r="I10" s="912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S13"/>
  <sheetViews>
    <sheetView showGridLines="0" topLeftCell="A2" zoomScaleNormal="100" workbookViewId="0">
      <selection activeCell="A3" sqref="A3"/>
    </sheetView>
  </sheetViews>
  <sheetFormatPr defaultColWidth="9.109375" defaultRowHeight="12" outlineLevelCol="1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4" width="9.109375" style="3" hidden="1" customWidth="1" outlineLevel="1"/>
    <col min="15" max="15" width="9.109375" style="3" collapsed="1"/>
    <col min="16" max="16384" width="9.109375" style="3"/>
  </cols>
  <sheetData>
    <row r="1" spans="1:175" ht="14.4" hidden="1" x14ac:dyDescent="0.3">
      <c r="B1" s="24"/>
      <c r="C1" s="24"/>
      <c r="D1" s="24"/>
      <c r="E1" s="24"/>
      <c r="F1" s="24"/>
      <c r="G1" s="24"/>
      <c r="H1" s="24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142" t="s">
        <v>611</v>
      </c>
      <c r="B3" s="142"/>
      <c r="C3" s="142"/>
      <c r="D3" s="142"/>
      <c r="E3" s="142"/>
      <c r="F3" s="142"/>
      <c r="G3" s="142"/>
      <c r="H3" s="142"/>
      <c r="I3" s="145" t="s">
        <v>3</v>
      </c>
      <c r="N3" s="923" t="str">
        <f>"Разлика износа на датум " &amp; F4 &amp;  " и износа на датум " &amp; B4 &amp; " (" &amp; I3 &amp; ")"</f>
        <v>Разлика износа на датум 2025. и износа на датум 2024. (%)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5" customHeight="1" x14ac:dyDescent="0.3">
      <c r="A4" s="925" t="s">
        <v>115</v>
      </c>
      <c r="B4" s="929" t="s">
        <v>958</v>
      </c>
      <c r="C4" s="930"/>
      <c r="D4" s="930"/>
      <c r="E4" s="931"/>
      <c r="F4" s="930" t="s">
        <v>961</v>
      </c>
      <c r="G4" s="930"/>
      <c r="H4" s="930"/>
      <c r="I4" s="930"/>
      <c r="N4" s="92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5.4" customHeight="1" x14ac:dyDescent="0.3">
      <c r="A5" s="926"/>
      <c r="B5" s="905" t="s">
        <v>923</v>
      </c>
      <c r="C5" s="906"/>
      <c r="D5" s="906" t="s">
        <v>926</v>
      </c>
      <c r="E5" s="910"/>
      <c r="F5" s="905" t="s">
        <v>923</v>
      </c>
      <c r="G5" s="906"/>
      <c r="H5" s="928" t="s">
        <v>926</v>
      </c>
      <c r="I5" s="928"/>
      <c r="N5" s="827" t="s">
        <v>923</v>
      </c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927"/>
      <c r="B6" s="780" t="s">
        <v>116</v>
      </c>
      <c r="C6" s="781" t="s">
        <v>117</v>
      </c>
      <c r="D6" s="781" t="s">
        <v>116</v>
      </c>
      <c r="E6" s="782" t="s">
        <v>117</v>
      </c>
      <c r="F6" s="781" t="s">
        <v>116</v>
      </c>
      <c r="G6" s="781" t="s">
        <v>117</v>
      </c>
      <c r="H6" s="781" t="s">
        <v>116</v>
      </c>
      <c r="I6" s="781" t="s">
        <v>117</v>
      </c>
      <c r="N6" s="638" t="s">
        <v>116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24" x14ac:dyDescent="0.3">
      <c r="A7" s="283" t="s">
        <v>754</v>
      </c>
      <c r="B7" s="427"/>
      <c r="C7" s="428"/>
      <c r="D7" s="428"/>
      <c r="E7" s="429"/>
      <c r="F7" s="428"/>
      <c r="G7" s="428"/>
      <c r="H7" s="428"/>
      <c r="I7" s="428"/>
      <c r="N7" s="637">
        <f>ROUND(F7,2)-ROUND(B7,2)</f>
        <v>0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284" t="s">
        <v>774</v>
      </c>
      <c r="B8" s="424">
        <v>7.6783999999999999</v>
      </c>
      <c r="C8" s="425">
        <v>8.5589999999999993</v>
      </c>
      <c r="D8" s="425">
        <v>6.0567000000000002</v>
      </c>
      <c r="E8" s="426">
        <v>6.3543000000000003</v>
      </c>
      <c r="F8" s="425">
        <v>7.2146999999999997</v>
      </c>
      <c r="G8" s="425">
        <v>8.0106000000000002</v>
      </c>
      <c r="H8" s="425">
        <v>5.7008999999999999</v>
      </c>
      <c r="I8" s="425">
        <v>6.0069999999999997</v>
      </c>
      <c r="N8" s="635">
        <f t="shared" ref="N8:N12" si="0">ROUND(F8,2)-ROUND(B8,2)</f>
        <v>-0.46999999999999975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x14ac:dyDescent="0.3">
      <c r="A9" s="285" t="s">
        <v>937</v>
      </c>
      <c r="B9" s="430">
        <v>13.389799999999999</v>
      </c>
      <c r="C9" s="431">
        <v>15.7385</v>
      </c>
      <c r="D9" s="431">
        <v>13.571999999999999</v>
      </c>
      <c r="E9" s="432">
        <v>14.181699999999999</v>
      </c>
      <c r="F9" s="431">
        <v>13.1478</v>
      </c>
      <c r="G9" s="431">
        <v>15.4091</v>
      </c>
      <c r="H9" s="431">
        <v>13.545199999999999</v>
      </c>
      <c r="I9" s="431">
        <v>14.2447</v>
      </c>
      <c r="N9" s="635">
        <f t="shared" si="0"/>
        <v>-0.24000000000000021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1" customHeight="1" x14ac:dyDescent="0.3">
      <c r="A10" s="283" t="s">
        <v>755</v>
      </c>
      <c r="B10" s="427"/>
      <c r="C10" s="428"/>
      <c r="D10" s="428"/>
      <c r="E10" s="429"/>
      <c r="F10" s="428"/>
      <c r="G10" s="428"/>
      <c r="H10" s="428"/>
      <c r="I10" s="428"/>
      <c r="N10" s="635">
        <f t="shared" si="0"/>
        <v>0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  <row r="11" spans="1:175" ht="14.1" customHeight="1" x14ac:dyDescent="0.3">
      <c r="A11" s="284" t="s">
        <v>774</v>
      </c>
      <c r="B11" s="424">
        <v>1.44E-2</v>
      </c>
      <c r="C11" s="425">
        <v>1.44E-2</v>
      </c>
      <c r="D11" s="425">
        <v>8.0000000000000002E-3</v>
      </c>
      <c r="E11" s="426">
        <v>8.0000000000000002E-3</v>
      </c>
      <c r="F11" s="425">
        <v>1.38E-2</v>
      </c>
      <c r="G11" s="425">
        <v>1.9900000000000001E-2</v>
      </c>
      <c r="H11" s="425">
        <v>1.0500000000000001E-2</v>
      </c>
      <c r="I11" s="425">
        <v>1.0500000000000001E-2</v>
      </c>
      <c r="N11" s="635">
        <f t="shared" si="0"/>
        <v>0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</row>
    <row r="12" spans="1:175" ht="14.1" customHeight="1" thickBot="1" x14ac:dyDescent="0.35">
      <c r="A12" s="286" t="s">
        <v>938</v>
      </c>
      <c r="B12" s="433">
        <v>4.8999999999999998E-3</v>
      </c>
      <c r="C12" s="434">
        <v>4.8999999999999998E-3</v>
      </c>
      <c r="D12" s="434">
        <v>1.5599999999999999E-2</v>
      </c>
      <c r="E12" s="435">
        <v>1.5599999999999999E-2</v>
      </c>
      <c r="F12" s="434">
        <v>4.3E-3</v>
      </c>
      <c r="G12" s="434">
        <v>4.3E-3</v>
      </c>
      <c r="H12" s="434">
        <v>1.8100000000000002E-2</v>
      </c>
      <c r="I12" s="434">
        <v>1.8100000000000002E-2</v>
      </c>
      <c r="N12" s="636">
        <f t="shared" si="0"/>
        <v>0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</row>
    <row r="13" spans="1:175" ht="14.4" x14ac:dyDescent="0.3">
      <c r="A13" s="794" t="s">
        <v>136</v>
      </c>
      <c r="B13" s="287"/>
      <c r="C13" s="287"/>
      <c r="D13" s="287"/>
      <c r="E13" s="287"/>
      <c r="F13" s="287"/>
      <c r="G13" s="287"/>
      <c r="H13" s="287"/>
      <c r="I13" s="287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</row>
  </sheetData>
  <mergeCells count="8">
    <mergeCell ref="N3:N4"/>
    <mergeCell ref="A4:A6"/>
    <mergeCell ref="H5:I5"/>
    <mergeCell ref="B4:E4"/>
    <mergeCell ref="F4:I4"/>
    <mergeCell ref="B5:C5"/>
    <mergeCell ref="D5:E5"/>
    <mergeCell ref="F5:G5"/>
  </mergeCells>
  <conditionalFormatting sqref="N7:N12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>
      <selection activeCell="B16" sqref="B16"/>
    </sheetView>
  </sheetViews>
  <sheetFormatPr defaultRowHeight="14.4" x14ac:dyDescent="0.3"/>
  <cols>
    <col min="1" max="1" width="16.33203125" bestFit="1" customWidth="1"/>
    <col min="2" max="2" width="108.5546875" bestFit="1" customWidth="1"/>
    <col min="6" max="6" width="6.5546875" customWidth="1"/>
  </cols>
  <sheetData>
    <row r="1" spans="1:167" s="119" customFormat="1" ht="15.75" customHeight="1" thickBot="1" x14ac:dyDescent="0.35">
      <c r="A1" s="123" t="s">
        <v>647</v>
      </c>
      <c r="B1" s="123"/>
      <c r="C1" s="29"/>
      <c r="D1" s="29"/>
      <c r="E1" s="29"/>
      <c r="F1" s="29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121" t="s">
        <v>824</v>
      </c>
      <c r="B2" s="1" t="s">
        <v>594</v>
      </c>
    </row>
    <row r="3" spans="1:167" x14ac:dyDescent="0.3">
      <c r="A3" s="121" t="s">
        <v>616</v>
      </c>
      <c r="B3" s="1" t="s">
        <v>595</v>
      </c>
      <c r="C3" s="121"/>
      <c r="D3" s="1"/>
    </row>
    <row r="4" spans="1:167" x14ac:dyDescent="0.3">
      <c r="A4" s="121" t="s">
        <v>617</v>
      </c>
      <c r="B4" s="1" t="s">
        <v>596</v>
      </c>
      <c r="C4" s="121"/>
      <c r="D4" s="124"/>
    </row>
    <row r="5" spans="1:167" x14ac:dyDescent="0.3">
      <c r="A5" s="121" t="s">
        <v>205</v>
      </c>
      <c r="B5" s="1" t="s">
        <v>764</v>
      </c>
      <c r="C5" s="121"/>
      <c r="D5" s="124"/>
    </row>
    <row r="6" spans="1:167" x14ac:dyDescent="0.3">
      <c r="A6" s="121" t="s">
        <v>618</v>
      </c>
      <c r="B6" s="1" t="s">
        <v>597</v>
      </c>
    </row>
    <row r="7" spans="1:167" x14ac:dyDescent="0.3">
      <c r="A7" s="121" t="s">
        <v>206</v>
      </c>
      <c r="B7" s="1" t="s">
        <v>598</v>
      </c>
    </row>
    <row r="8" spans="1:167" x14ac:dyDescent="0.3">
      <c r="A8" s="121" t="s">
        <v>619</v>
      </c>
      <c r="B8" s="1" t="s">
        <v>599</v>
      </c>
    </row>
    <row r="9" spans="1:167" x14ac:dyDescent="0.3">
      <c r="A9" s="121" t="s">
        <v>620</v>
      </c>
      <c r="B9" s="1" t="s">
        <v>793</v>
      </c>
    </row>
    <row r="10" spans="1:167" x14ac:dyDescent="0.3">
      <c r="A10" s="121" t="s">
        <v>207</v>
      </c>
      <c r="B10" s="1" t="s">
        <v>648</v>
      </c>
    </row>
    <row r="11" spans="1:167" x14ac:dyDescent="0.3">
      <c r="A11" s="121" t="s">
        <v>621</v>
      </c>
      <c r="B11" s="1" t="s">
        <v>600</v>
      </c>
    </row>
    <row r="12" spans="1:167" x14ac:dyDescent="0.3">
      <c r="A12" s="121" t="s">
        <v>208</v>
      </c>
      <c r="B12" s="1" t="s">
        <v>601</v>
      </c>
    </row>
    <row r="13" spans="1:167" x14ac:dyDescent="0.3">
      <c r="A13" s="121" t="s">
        <v>622</v>
      </c>
      <c r="B13" s="1" t="s">
        <v>602</v>
      </c>
    </row>
    <row r="14" spans="1:167" x14ac:dyDescent="0.3">
      <c r="A14" s="121" t="s">
        <v>623</v>
      </c>
      <c r="B14" s="1" t="s">
        <v>650</v>
      </c>
    </row>
    <row r="15" spans="1:167" x14ac:dyDescent="0.3">
      <c r="A15" s="121" t="s">
        <v>624</v>
      </c>
      <c r="B15" s="1" t="s">
        <v>649</v>
      </c>
    </row>
    <row r="16" spans="1:167" x14ac:dyDescent="0.3">
      <c r="A16" s="121" t="s">
        <v>625</v>
      </c>
      <c r="B16" s="1" t="s">
        <v>797</v>
      </c>
    </row>
    <row r="17" spans="1:6" x14ac:dyDescent="0.3">
      <c r="A17" s="121" t="s">
        <v>626</v>
      </c>
      <c r="B17" s="1" t="s">
        <v>798</v>
      </c>
    </row>
    <row r="18" spans="1:6" x14ac:dyDescent="0.3">
      <c r="A18" s="121" t="s">
        <v>627</v>
      </c>
      <c r="B18" s="1" t="s">
        <v>603</v>
      </c>
    </row>
    <row r="19" spans="1:6" x14ac:dyDescent="0.3">
      <c r="A19" s="121" t="s">
        <v>209</v>
      </c>
      <c r="B19" s="1" t="s">
        <v>651</v>
      </c>
    </row>
    <row r="20" spans="1:6" x14ac:dyDescent="0.3">
      <c r="A20" s="121" t="s">
        <v>628</v>
      </c>
      <c r="B20" s="1" t="s">
        <v>604</v>
      </c>
    </row>
    <row r="21" spans="1:6" x14ac:dyDescent="0.3">
      <c r="A21" s="121" t="s">
        <v>629</v>
      </c>
      <c r="B21" s="1" t="s">
        <v>605</v>
      </c>
    </row>
    <row r="22" spans="1:6" x14ac:dyDescent="0.3">
      <c r="A22" s="121" t="s">
        <v>630</v>
      </c>
      <c r="B22" s="1" t="s">
        <v>606</v>
      </c>
    </row>
    <row r="23" spans="1:6" x14ac:dyDescent="0.3">
      <c r="A23" s="121" t="s">
        <v>631</v>
      </c>
      <c r="B23" s="1" t="s">
        <v>607</v>
      </c>
    </row>
    <row r="24" spans="1:6" x14ac:dyDescent="0.3">
      <c r="A24" s="121" t="s">
        <v>632</v>
      </c>
      <c r="B24" s="1" t="s">
        <v>608</v>
      </c>
    </row>
    <row r="25" spans="1:6" x14ac:dyDescent="0.3">
      <c r="A25" s="121" t="s">
        <v>633</v>
      </c>
      <c r="B25" s="1" t="s">
        <v>609</v>
      </c>
      <c r="C25" s="122"/>
    </row>
    <row r="26" spans="1:6" x14ac:dyDescent="0.3">
      <c r="A26" s="121" t="s">
        <v>634</v>
      </c>
      <c r="B26" s="1" t="s">
        <v>610</v>
      </c>
      <c r="C26" s="122"/>
    </row>
    <row r="27" spans="1:6" x14ac:dyDescent="0.3">
      <c r="A27" s="121" t="s">
        <v>635</v>
      </c>
      <c r="B27" s="1" t="s">
        <v>611</v>
      </c>
      <c r="C27" s="122"/>
    </row>
    <row r="28" spans="1:6" x14ac:dyDescent="0.3">
      <c r="A28" s="121" t="s">
        <v>636</v>
      </c>
      <c r="B28" s="622" t="s">
        <v>5</v>
      </c>
      <c r="C28" s="122"/>
    </row>
    <row r="29" spans="1:6" x14ac:dyDescent="0.3">
      <c r="A29" s="121" t="s">
        <v>637</v>
      </c>
      <c r="B29" s="622" t="s">
        <v>612</v>
      </c>
      <c r="C29" s="122"/>
    </row>
    <row r="30" spans="1:6" x14ac:dyDescent="0.3">
      <c r="A30" s="121" t="s">
        <v>638</v>
      </c>
      <c r="B30" s="622" t="s">
        <v>613</v>
      </c>
      <c r="C30" s="122"/>
      <c r="D30" s="121"/>
      <c r="E30" s="622"/>
      <c r="F30" s="623"/>
    </row>
    <row r="31" spans="1:6" x14ac:dyDescent="0.3">
      <c r="A31" s="121" t="s">
        <v>639</v>
      </c>
      <c r="B31" s="622" t="s">
        <v>614</v>
      </c>
      <c r="C31" s="122"/>
      <c r="D31" s="121"/>
      <c r="E31" s="622"/>
    </row>
    <row r="32" spans="1:6" x14ac:dyDescent="0.3">
      <c r="A32" s="121" t="s">
        <v>640</v>
      </c>
      <c r="B32" s="622" t="s">
        <v>768</v>
      </c>
      <c r="C32" s="122"/>
      <c r="D32" s="121"/>
      <c r="E32" s="622"/>
    </row>
    <row r="33" spans="1:5" x14ac:dyDescent="0.3">
      <c r="A33" s="121" t="s">
        <v>641</v>
      </c>
      <c r="B33" s="1" t="s">
        <v>917</v>
      </c>
      <c r="C33" s="122"/>
      <c r="D33" s="121"/>
      <c r="E33" s="622"/>
    </row>
    <row r="34" spans="1:5" x14ac:dyDescent="0.3">
      <c r="A34" s="121" t="s">
        <v>642</v>
      </c>
      <c r="B34" s="622" t="s">
        <v>727</v>
      </c>
      <c r="C34" s="122"/>
      <c r="D34" s="121"/>
      <c r="E34" s="622"/>
    </row>
    <row r="35" spans="1:5" x14ac:dyDescent="0.3">
      <c r="A35" s="121" t="s">
        <v>643</v>
      </c>
      <c r="B35" s="622" t="s">
        <v>739</v>
      </c>
      <c r="C35" s="122"/>
      <c r="D35" s="121"/>
      <c r="E35" s="622"/>
    </row>
    <row r="36" spans="1:5" x14ac:dyDescent="0.3">
      <c r="A36" s="121" t="s">
        <v>644</v>
      </c>
      <c r="B36" s="622" t="s">
        <v>653</v>
      </c>
      <c r="C36" s="122"/>
      <c r="D36" s="121"/>
      <c r="E36" s="622"/>
    </row>
    <row r="37" spans="1:5" x14ac:dyDescent="0.3">
      <c r="A37" s="120" t="s">
        <v>645</v>
      </c>
      <c r="B37" s="1" t="s">
        <v>615</v>
      </c>
    </row>
    <row r="38" spans="1:5" x14ac:dyDescent="0.3">
      <c r="A38" s="120" t="s">
        <v>646</v>
      </c>
      <c r="B38" s="1" t="s">
        <v>825</v>
      </c>
    </row>
    <row r="39" spans="1:5" x14ac:dyDescent="0.3">
      <c r="A39" s="120" t="s">
        <v>781</v>
      </c>
      <c r="B39" s="1" t="s">
        <v>602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A30:A36">
    <cfRule type="cellIs" dxfId="6" priority="15" operator="equal">
      <formula>"ne"</formula>
    </cfRule>
    <cfRule type="cellIs" dxfId="5" priority="16" operator="equal">
      <formula>"da"</formula>
    </cfRule>
  </conditionalFormatting>
  <conditionalFormatting sqref="D32:D36">
    <cfRule type="cellIs" dxfId="4" priority="33" operator="equal">
      <formula>"ne"</formula>
    </cfRule>
    <cfRule type="cellIs" dxfId="3" priority="34" operator="equal">
      <formula>"da"</formula>
    </cfRule>
  </conditionalFormatting>
  <hyperlinks>
    <hyperlink ref="B2" location="'Tab 0'!B2" display="Банке РС и организациони дијелови банака из ФБиХ у РС" xr:uid="{6BC372E4-1BC1-4E50-8678-B3F7DD4FFF43}"/>
    <hyperlink ref="B3" location="'Tab 1'!A1" display="Тржишно учешће банака у укупној активи, капиталу и депозитима" xr:uid="{4B7AD892-DC6E-4221-84A4-F333A2ECB4B3}"/>
    <hyperlink ref="B4" location="'Tab 2'!A2" display="Актива по запосленом" xr:uid="{A216648A-F66A-435C-AEE5-FFA5D6909C5F}"/>
    <hyperlink ref="B5" location="'Tab 3'!A3" display="Биланс стања" xr:uid="{4416BE40-A52B-4110-8B3C-6BC7D027E81F}"/>
    <hyperlink ref="B6" location="'Tab 4'!A3" display="Секторска структура депозита" xr:uid="{B7F0A775-2DF8-42D8-A565-E5A94FBCEE89}"/>
    <hyperlink ref="B7" location="'Tab 5'!A3" display="Структура депозита по валути" xr:uid="{D21F8F02-59C6-4252-B74D-18C84147037F}"/>
    <hyperlink ref="B8" location="'Tab 6'!A3" display="Рочна структура депозита" xr:uid="{23973F04-EBCF-44E9-A0B1-CC07EEF3C456}"/>
    <hyperlink ref="B9" location="'Tab 7'!A3" display="Кредити и штедња грађана" xr:uid="{99A87BA1-6889-48BE-B51B-06B4E5CC3C17}"/>
    <hyperlink ref="B10" location="'Tab 8'!A3" display="Рочна и секторска структура депозита" xr:uid="{988F6DE8-CE0E-42D2-8EAB-BBB64E7BDA9A}"/>
    <hyperlink ref="B11" location="'Tab 9'!A3" display="Структура ванбилансне активе" xr:uid="{CD58D643-F904-40BE-8680-6CEB23F266F5}"/>
    <hyperlink ref="B12" location="'Tab 10'!A3" display="Структура новчаних средстава" xr:uid="{5B5D080E-40F3-4829-A3DF-7F1245AAE3B8}"/>
    <hyperlink ref="B13" location="'Tab 11'!A3" display="Секторска структура укупних кредита" xr:uid="{B5471BB7-5FA3-41C2-AFA4-1F1A3CFAF4E3}"/>
    <hyperlink ref="B14" location="'Tab 12'!A3" display="Рочна структура кредита" xr:uid="{DAFBA3D7-C8D0-4CEA-88E6-626462B44261}"/>
    <hyperlink ref="B15" location="'Tab 13'!A3" display="Рочна и секторска структура кредита" xr:uid="{AD3924E5-D3C4-4BD0-8537-EF2D3684AC15}"/>
    <hyperlink ref="B16" location="'Tab 14'!A3" display="Структура кредита грађанима банака РС и посл. јединица банака из ФБиХ" xr:uid="{B61C6311-A9E8-487A-B3C5-0C6C7E0868F8}"/>
    <hyperlink ref="B17" location="'Tab 15'!A3" display="Намјенска структура кредита грађанима за општу потрошњу" xr:uid="{9FC334D4-FDFA-44B5-944B-56B0290CDEF2}"/>
    <hyperlink ref="B18" location="'Tab 16'!A3" display="Прикупљени депозити и пласирани кредити" xr:uid="{9DC30F5C-0786-42D2-B954-7A3AE4AC1D3D}"/>
    <hyperlink ref="B19" location="'Tab 17'!A4" display="Задуженост становништва по кредитима (осим кредита за обављање дјелатности)" xr:uid="{85C61D30-E778-48B6-AD96-A4F05510DAA2}"/>
    <hyperlink ref="B20" location="'Tab 18'!A2" display="Биланс успјеха банкарског сектора РС" xr:uid="{62B13544-AA94-44D3-B930-8543D7B4F246}"/>
    <hyperlink ref="B21" location="'Tab 19'!A2" display="ROAA и ROAE показатељи" xr:uid="{40C1B9A9-2057-4133-A3E8-C6B155118DF9}"/>
    <hyperlink ref="B22" location="'Tab 20'!A4" display="Укупна финансијска имовина према начину вредновања и ЕCL" xr:uid="{F663B22E-10F1-4A1C-A20A-632C10C899F3}"/>
    <hyperlink ref="B23" location="'Tab 21'!A4" display="Укупна финансијска имовина према нивоима кредитног ризика" xr:uid="{F9F71DE0-516E-4330-AF3F-8DD9E701D8C3}"/>
    <hyperlink ref="B24" location="'Tab 22'!A4" display="Преглед кредита правним и физичким лицима према нивоу кредитног ризика и припадајући ECL" xr:uid="{F6CD1694-1184-4518-B53B-32074374CABB}"/>
    <hyperlink ref="B25" location="'Tab 23'!A1" display="Просјечне пондерисане каматне стопе на кредите" xr:uid="{247B2950-E19B-4964-9652-743400141E61}"/>
    <hyperlink ref="B26" location="'Tab 24'!A3" display="Просјечне пондерисане каматне стопе на депозите" xr:uid="{E4563799-13DA-4296-8E6A-49590DC58747}"/>
    <hyperlink ref="B27" location="'Tab 25'!B2" display="Просјечне пондерисане каматне стопе на прекорачења и депозите по виђењу" xr:uid="{BD122FA0-5DA4-43D8-8C9D-50A84D30666D}"/>
    <hyperlink ref="B28" location="'Tab 26'!B2" display="Структура капитала" xr:uid="{3A96F4AE-5B54-441D-B95A-281759D6E86F}"/>
    <hyperlink ref="B29" location="'Tab 27'!A1" display="Укупна изложеност банкарског сектора ризику " xr:uid="{C4E8E925-7445-439D-ADEC-635006D41A8E}"/>
    <hyperlink ref="B30" location="'Tab 28'!B2" display="Показатељи адекватности капитала" xr:uid="{B35BADD8-1184-4EC8-A944-1A7B421DF9C6}"/>
    <hyperlink ref="B31" location="'Tab 29'!B2" display="Стопа финансијске полуге" xr:uid="{F5DBBFD2-8FCE-4F3F-A6CB-1C054B2E200D}"/>
    <hyperlink ref="B32" location="'Tab 30'!B2" display="Коефицијент покрића ликвидности - LCR" xr:uid="{032DF2F5-75A1-44B3-8376-473349565BE8}"/>
    <hyperlink ref="B33" location="'Tab 31'!A2" display="Коефицијент нето стабилних извора финансирања - NSFR" xr:uid="{D33D14B4-7C81-4E57-9512-ABBFA9E716E0}"/>
    <hyperlink ref="B34" location="'Tab 32'!B2" display="Рочна структура депозита по преосталом доспијећу" xr:uid="{6C297D68-1F7D-4360-B41C-96AFAF92209B}"/>
    <hyperlink ref="B35" location="'Tab 33'!B2" display="Показатељи ликвидности" xr:uid="{19D08833-F7A5-44E9-936F-8F3B3A5099C1}"/>
    <hyperlink ref="B36" location="'Tab 34'!B2" display="Унутрашњи платни промет" xr:uid="{00B52CA3-07FE-4E5C-B617-43F33DB42812}"/>
    <hyperlink ref="B37" location="'Pr 1'!B2" display="Основни подаци о банкама" xr:uid="{AC0EA334-0E96-4550-B876-68101069DF93}"/>
    <hyperlink ref="B38" location="'Pr 2'!A2" display="Биланс успјеха" xr:uid="{D3D68C0F-D8E9-436A-9992-50DCD46E6BFC}"/>
    <hyperlink ref="B39" location="'Pr 3'!A2" display="Секторска структура укупних кредита" xr:uid="{C7C5DEF1-2CA0-4232-821D-EAD35AAB4AB2}"/>
  </hyperlinks>
  <pageMargins left="0.7" right="0.7" top="0.75" bottom="0.75" header="0.3" footer="0.3"/>
  <pageSetup paperSize="9" orientation="portrait" verticalDpi="0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/>
  <dimension ref="A2:N69"/>
  <sheetViews>
    <sheetView showGridLines="0" topLeftCell="B1" zoomScaleNormal="100" workbookViewId="0">
      <selection activeCell="A2" sqref="A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140" hidden="1" customWidth="1"/>
    <col min="8" max="8" width="8.88671875" hidden="1" customWidth="1"/>
    <col min="9" max="9" width="9.109375" style="140" hidden="1" customWidth="1"/>
    <col min="10" max="10" width="8.6640625" style="360" hidden="1" customWidth="1"/>
    <col min="11" max="11" width="9.109375" style="140" hidden="1" customWidth="1"/>
    <col min="12" max="12" width="8.6640625" style="3" hidden="1" customWidth="1"/>
    <col min="13" max="13" width="9.109375" style="140" hidden="1" customWidth="1"/>
    <col min="14" max="14" width="8.6640625" style="3" hidden="1" customWidth="1"/>
  </cols>
  <sheetData>
    <row r="2" spans="2:14" x14ac:dyDescent="0.3">
      <c r="B2" s="142" t="s">
        <v>5</v>
      </c>
      <c r="C2" s="142"/>
      <c r="D2" s="142"/>
      <c r="E2" s="324"/>
      <c r="F2" s="324" t="s">
        <v>695</v>
      </c>
      <c r="G2"/>
    </row>
    <row r="3" spans="2:14" ht="24" x14ac:dyDescent="0.3">
      <c r="B3" s="522" t="s">
        <v>10</v>
      </c>
      <c r="C3" s="525">
        <v>2023</v>
      </c>
      <c r="D3" s="522">
        <v>2024</v>
      </c>
      <c r="E3" s="522">
        <v>2025</v>
      </c>
      <c r="F3" s="795" t="str">
        <f>IF(LEN(E3)&gt;5,"Индекс " &amp; MID(E3,1,2) &amp; "-" &amp; MID(E3,4,5) &amp; "/" &amp; D3,"Индекс " &amp; E3 &amp; "/" &amp; D3)</f>
        <v>Индекс 2025/2024</v>
      </c>
      <c r="G3"/>
      <c r="I3" s="934" t="s">
        <v>952</v>
      </c>
      <c r="J3" s="935"/>
      <c r="K3" s="934" t="s">
        <v>958</v>
      </c>
      <c r="L3" s="935"/>
      <c r="M3" s="934" t="s">
        <v>961</v>
      </c>
      <c r="N3" s="935"/>
    </row>
    <row r="4" spans="2:14" s="368" customFormat="1" ht="12" customHeight="1" x14ac:dyDescent="0.3">
      <c r="B4" s="521">
        <v>1</v>
      </c>
      <c r="C4" s="526">
        <v>2</v>
      </c>
      <c r="D4" s="521">
        <v>3</v>
      </c>
      <c r="E4" s="521">
        <v>4</v>
      </c>
      <c r="F4" s="796">
        <v>5</v>
      </c>
      <c r="I4" s="475" t="s">
        <v>218</v>
      </c>
      <c r="J4" s="476">
        <v>1188.3019999999999</v>
      </c>
      <c r="K4" s="470" t="s">
        <v>218</v>
      </c>
      <c r="L4" s="476">
        <v>1386.8430000000001</v>
      </c>
      <c r="M4" s="470" t="s">
        <v>218</v>
      </c>
      <c r="N4" s="476">
        <v>1514.645</v>
      </c>
    </row>
    <row r="5" spans="2:14" ht="12.45" customHeight="1" x14ac:dyDescent="0.3">
      <c r="B5" s="523" t="s">
        <v>32</v>
      </c>
      <c r="C5" s="528">
        <f>IFERROR(VLOOKUP($G5,I$4:J$42,2,FALSE),0)</f>
        <v>1188.3019999999999</v>
      </c>
      <c r="D5" s="528">
        <f>IFERROR(VLOOKUP($G5,K$4:L$42,2,FALSE),0)</f>
        <v>1386.8430000000001</v>
      </c>
      <c r="E5" s="528">
        <f>IFERROR(VLOOKUP($G5,M$4:N$42,2,FALSE),0)</f>
        <v>1514.645</v>
      </c>
      <c r="F5" s="797">
        <f t="shared" ref="F5:F7" si="0">IF(ROUND(D5,1)&gt;0,E5*100/D5,"-")</f>
        <v>109.21531853281157</v>
      </c>
      <c r="G5" s="140" t="s">
        <v>218</v>
      </c>
      <c r="I5" s="470" t="s">
        <v>222</v>
      </c>
      <c r="J5" s="477">
        <v>1130.0150000000001</v>
      </c>
      <c r="K5" s="140" t="s">
        <v>222</v>
      </c>
      <c r="L5" s="477">
        <v>1309.855</v>
      </c>
      <c r="M5" s="470" t="s">
        <v>222</v>
      </c>
      <c r="N5" s="477">
        <v>1434.4449999999999</v>
      </c>
    </row>
    <row r="6" spans="2:14" ht="12.45" customHeight="1" x14ac:dyDescent="0.3">
      <c r="B6" s="524" t="s">
        <v>34</v>
      </c>
      <c r="C6" s="529">
        <f>IFERROR(VLOOKUP($G6,I$4:J$42,2,FALSE),0)</f>
        <v>1130.0150000000001</v>
      </c>
      <c r="D6" s="529">
        <f>IFERROR(VLOOKUP($G6,K$4:L$42,2,FALSE),0)</f>
        <v>1309.855</v>
      </c>
      <c r="E6" s="529">
        <f>IFERROR(VLOOKUP($G6,M$4:N$42,2,FALSE),0)</f>
        <v>1434.4449999999999</v>
      </c>
      <c r="F6" s="798">
        <f t="shared" si="0"/>
        <v>109.51173984906727</v>
      </c>
      <c r="G6" s="140" t="s">
        <v>222</v>
      </c>
      <c r="I6" s="470" t="s">
        <v>225</v>
      </c>
      <c r="J6" s="477">
        <v>1124.0150000000001</v>
      </c>
      <c r="K6" s="140" t="s">
        <v>225</v>
      </c>
      <c r="L6" s="477">
        <v>1303.855</v>
      </c>
      <c r="M6" s="470" t="s">
        <v>225</v>
      </c>
      <c r="N6" s="477">
        <v>1428.4449999999999</v>
      </c>
    </row>
    <row r="7" spans="2:14" ht="12.45" customHeight="1" x14ac:dyDescent="0.3">
      <c r="B7" s="652" t="s">
        <v>887</v>
      </c>
      <c r="C7" s="530">
        <f>IFERROR(VLOOKUP($G7,I$4:J$42,2,FALSE),0)</f>
        <v>1124.0150000000001</v>
      </c>
      <c r="D7" s="530">
        <f>IFERROR(VLOOKUP($G7,K$4:L$42,2,FALSE),0)</f>
        <v>1303.855</v>
      </c>
      <c r="E7" s="530">
        <f>IFERROR(VLOOKUP($G7,M$4:N$42,2,FALSE),0)</f>
        <v>1428.4449999999999</v>
      </c>
      <c r="F7" s="799">
        <f t="shared" si="0"/>
        <v>109.55551039034248</v>
      </c>
      <c r="G7" s="140" t="s">
        <v>225</v>
      </c>
      <c r="I7" s="470" t="s">
        <v>229</v>
      </c>
      <c r="J7" s="477">
        <v>711.38900000000001</v>
      </c>
      <c r="K7" s="140" t="s">
        <v>229</v>
      </c>
      <c r="L7" s="477">
        <v>716.68299999999999</v>
      </c>
      <c r="M7" s="470" t="s">
        <v>229</v>
      </c>
      <c r="N7" s="477">
        <v>718.23</v>
      </c>
    </row>
    <row r="8" spans="2:14" ht="12.45" customHeight="1" x14ac:dyDescent="0.3">
      <c r="B8" s="653" t="s">
        <v>878</v>
      </c>
      <c r="C8" s="531">
        <f>+SUM(C9:C14)</f>
        <v>1168.461</v>
      </c>
      <c r="D8" s="531">
        <f t="shared" ref="D8:E8" si="1">+SUM(D9:D14)</f>
        <v>1325.0089999999998</v>
      </c>
      <c r="E8" s="531">
        <f t="shared" si="1"/>
        <v>1450.29</v>
      </c>
      <c r="F8" s="800">
        <f t="shared" ref="F8:F17" si="2">IF(ROUND(D8,1)&gt;0,E8*100/D8,"-")</f>
        <v>109.45510558796207</v>
      </c>
      <c r="I8" s="470" t="s">
        <v>233</v>
      </c>
      <c r="J8" s="477">
        <v>695.64099999999996</v>
      </c>
      <c r="K8" s="140" t="s">
        <v>233</v>
      </c>
      <c r="L8" s="477">
        <v>700.64099999999996</v>
      </c>
      <c r="M8" s="470" t="s">
        <v>233</v>
      </c>
      <c r="N8" s="477">
        <v>700.97299999999996</v>
      </c>
    </row>
    <row r="9" spans="2:14" ht="12.45" customHeight="1" x14ac:dyDescent="0.3">
      <c r="B9" s="654" t="s">
        <v>953</v>
      </c>
      <c r="C9" s="532">
        <f t="shared" ref="C9:C14" si="3">IFERROR(VLOOKUP($G9,I$4:J$42,2,FALSE),0)</f>
        <v>695.64099999999996</v>
      </c>
      <c r="D9" s="532">
        <f t="shared" ref="D9:D14" si="4">IFERROR(VLOOKUP($G9,K$4:L$42,2,FALSE),0)</f>
        <v>700.64099999999996</v>
      </c>
      <c r="E9" s="532">
        <f t="shared" ref="E9:E14" si="5">IFERROR(VLOOKUP($G9,M$4:N$42,2,FALSE),0)</f>
        <v>700.97299999999996</v>
      </c>
      <c r="F9" s="801">
        <f t="shared" si="2"/>
        <v>100.04738518014217</v>
      </c>
      <c r="G9" s="140" t="s">
        <v>233</v>
      </c>
      <c r="I9" s="470" t="s">
        <v>237</v>
      </c>
      <c r="J9" s="477">
        <v>1.446</v>
      </c>
      <c r="K9" s="140" t="s">
        <v>237</v>
      </c>
      <c r="L9" s="477">
        <v>1.446</v>
      </c>
      <c r="M9" s="470" t="s">
        <v>237</v>
      </c>
      <c r="N9" s="477">
        <v>1.1140000000000001</v>
      </c>
    </row>
    <row r="10" spans="2:14" ht="12.45" customHeight="1" x14ac:dyDescent="0.3">
      <c r="B10" s="654" t="s">
        <v>249</v>
      </c>
      <c r="C10" s="532">
        <f t="shared" si="3"/>
        <v>17.256</v>
      </c>
      <c r="D10" s="532">
        <f t="shared" si="4"/>
        <v>17.256</v>
      </c>
      <c r="E10" s="532">
        <f t="shared" si="5"/>
        <v>17.256</v>
      </c>
      <c r="F10" s="801">
        <f>IF(ROUND(D10,1)&gt;0,E10*100/D10,"-")</f>
        <v>100</v>
      </c>
      <c r="G10" s="140" t="s">
        <v>242</v>
      </c>
      <c r="I10" s="470" t="s">
        <v>242</v>
      </c>
      <c r="J10" s="477">
        <v>17.256</v>
      </c>
      <c r="K10" s="140" t="s">
        <v>242</v>
      </c>
      <c r="L10" s="477">
        <v>17.256</v>
      </c>
      <c r="M10" s="470" t="s">
        <v>242</v>
      </c>
      <c r="N10" s="477">
        <v>17.256</v>
      </c>
    </row>
    <row r="11" spans="2:14" ht="12.45" customHeight="1" x14ac:dyDescent="0.3">
      <c r="B11" s="654" t="s">
        <v>954</v>
      </c>
      <c r="C11" s="532">
        <f t="shared" si="3"/>
        <v>270.72899999999998</v>
      </c>
      <c r="D11" s="532">
        <f t="shared" si="4"/>
        <v>373.75299999999999</v>
      </c>
      <c r="E11" s="532">
        <f t="shared" si="5"/>
        <v>472.48099999999999</v>
      </c>
      <c r="F11" s="801">
        <f t="shared" si="2"/>
        <v>126.41530636543386</v>
      </c>
      <c r="G11" s="140" t="s">
        <v>276</v>
      </c>
      <c r="I11" s="470" t="s">
        <v>246</v>
      </c>
      <c r="J11" s="477">
        <v>-1.508</v>
      </c>
      <c r="K11" s="140" t="s">
        <v>246</v>
      </c>
      <c r="L11" s="477">
        <v>-1.2150000000000001</v>
      </c>
      <c r="M11" s="470" t="s">
        <v>246</v>
      </c>
      <c r="N11" s="477">
        <v>0</v>
      </c>
    </row>
    <row r="12" spans="2:14" ht="12.45" customHeight="1" x14ac:dyDescent="0.3">
      <c r="B12" s="654" t="s">
        <v>955</v>
      </c>
      <c r="C12" s="532">
        <f t="shared" si="3"/>
        <v>64.716999999999999</v>
      </c>
      <c r="D12" s="532">
        <f t="shared" si="4"/>
        <v>99.951999999999998</v>
      </c>
      <c r="E12" s="532">
        <f t="shared" si="5"/>
        <v>112.43300000000001</v>
      </c>
      <c r="F12" s="801">
        <f t="shared" si="2"/>
        <v>112.48699375700338</v>
      </c>
      <c r="G12" s="140" t="s">
        <v>280</v>
      </c>
      <c r="I12" s="470" t="s">
        <v>264</v>
      </c>
      <c r="J12" s="477">
        <v>-1.508</v>
      </c>
      <c r="K12" s="140" t="s">
        <v>264</v>
      </c>
      <c r="L12" s="477">
        <v>-1.2150000000000001</v>
      </c>
      <c r="M12" s="470" t="s">
        <v>264</v>
      </c>
      <c r="N12" s="477">
        <v>0</v>
      </c>
    </row>
    <row r="13" spans="2:14" ht="12.45" customHeight="1" x14ac:dyDescent="0.3">
      <c r="B13" s="654" t="s">
        <v>879</v>
      </c>
      <c r="C13" s="532">
        <f t="shared" si="3"/>
        <v>-17.285</v>
      </c>
      <c r="D13" s="532">
        <f t="shared" si="4"/>
        <v>-9.9</v>
      </c>
      <c r="E13" s="532">
        <f t="shared" si="5"/>
        <v>-3.0840000000000001</v>
      </c>
      <c r="F13" s="801" t="str">
        <f t="shared" si="2"/>
        <v>-</v>
      </c>
      <c r="G13" s="140" t="s">
        <v>292</v>
      </c>
      <c r="I13" s="470" t="s">
        <v>269</v>
      </c>
      <c r="J13" s="477">
        <v>0</v>
      </c>
      <c r="K13" s="140" t="s">
        <v>269</v>
      </c>
      <c r="L13" s="477">
        <v>0</v>
      </c>
      <c r="M13" s="470" t="s">
        <v>269</v>
      </c>
      <c r="N13" s="477">
        <v>0</v>
      </c>
    </row>
    <row r="14" spans="2:14" ht="12.45" customHeight="1" x14ac:dyDescent="0.3">
      <c r="B14" s="654" t="s">
        <v>880</v>
      </c>
      <c r="C14" s="532">
        <f t="shared" si="3"/>
        <v>137.40299999999999</v>
      </c>
      <c r="D14" s="532">
        <f t="shared" si="4"/>
        <v>143.30699999999999</v>
      </c>
      <c r="E14" s="532">
        <f t="shared" si="5"/>
        <v>150.23099999999999</v>
      </c>
      <c r="F14" s="801">
        <f t="shared" si="2"/>
        <v>104.83158533777136</v>
      </c>
      <c r="G14" s="140" t="s">
        <v>297</v>
      </c>
      <c r="I14" s="470" t="s">
        <v>272</v>
      </c>
      <c r="J14" s="477">
        <v>335.44600000000003</v>
      </c>
      <c r="K14" s="140" t="s">
        <v>272</v>
      </c>
      <c r="L14" s="477">
        <v>473.70499999999998</v>
      </c>
      <c r="M14" s="470" t="s">
        <v>272</v>
      </c>
      <c r="N14" s="477">
        <v>584.91399999999999</v>
      </c>
    </row>
    <row r="15" spans="2:14" ht="12.45" customHeight="1" x14ac:dyDescent="0.3">
      <c r="B15" s="653" t="s">
        <v>881</v>
      </c>
      <c r="C15" s="534">
        <f>C7-C8</f>
        <v>-44.445999999999913</v>
      </c>
      <c r="D15" s="534">
        <f t="shared" ref="D15:E15" si="6">D7-D8</f>
        <v>-21.153999999999769</v>
      </c>
      <c r="E15" s="534">
        <f t="shared" si="6"/>
        <v>-21.845000000000027</v>
      </c>
      <c r="F15" s="800" t="str">
        <f t="shared" si="2"/>
        <v>-</v>
      </c>
      <c r="G15"/>
      <c r="I15" s="470" t="s">
        <v>276</v>
      </c>
      <c r="J15" s="477">
        <v>270.72899999999998</v>
      </c>
      <c r="K15" s="140" t="s">
        <v>276</v>
      </c>
      <c r="L15" s="477">
        <v>373.75299999999999</v>
      </c>
      <c r="M15" s="470" t="s">
        <v>276</v>
      </c>
      <c r="N15" s="477">
        <v>472.48099999999999</v>
      </c>
    </row>
    <row r="16" spans="2:14" ht="12.45" customHeight="1" x14ac:dyDescent="0.3">
      <c r="B16" s="654" t="s">
        <v>886</v>
      </c>
      <c r="C16" s="532">
        <f>IFERROR(VLOOKUP($G16,I$4:J$42,2,FALSE),0)</f>
        <v>-24.536000000000001</v>
      </c>
      <c r="D16" s="532">
        <f>IFERROR(VLOOKUP($G16,K$4:L$42,2,FALSE),0)</f>
        <v>-13.422000000000001</v>
      </c>
      <c r="E16" s="532">
        <f>IFERROR(VLOOKUP($G16,M$4:N$42,2,FALSE),0)</f>
        <v>-14.733000000000001</v>
      </c>
      <c r="F16" s="801" t="str">
        <f t="shared" si="2"/>
        <v>-</v>
      </c>
      <c r="G16" s="140" t="s">
        <v>355</v>
      </c>
      <c r="I16" s="470" t="s">
        <v>280</v>
      </c>
      <c r="J16" s="477">
        <v>64.716999999999999</v>
      </c>
      <c r="K16" s="140" t="s">
        <v>280</v>
      </c>
      <c r="L16" s="477">
        <v>99.951999999999998</v>
      </c>
      <c r="M16" s="470" t="s">
        <v>280</v>
      </c>
      <c r="N16" s="477">
        <v>112.43300000000001</v>
      </c>
    </row>
    <row r="17" spans="2:14" ht="12.45" customHeight="1" x14ac:dyDescent="0.3">
      <c r="B17" s="341" t="s">
        <v>882</v>
      </c>
      <c r="C17" s="532">
        <f>IFERROR(VLOOKUP($G17,I$4:J$43,2,FALSE),0)+IFERROR(VLOOKUP($H17,I$4:J$43,2,FALSE),0)</f>
        <v>-7.3960000000000008</v>
      </c>
      <c r="D17" s="532">
        <f>IFERROR(VLOOKUP($G17,K$4:L$43,2,FALSE),0)+IFERROR(VLOOKUP($H17,K$4:L$43,2,FALSE),0)</f>
        <v>-6.5169999999999995</v>
      </c>
      <c r="E17" s="532">
        <f>IFERROR(VLOOKUP($G17,M$4:N$43,2,FALSE),0)+IFERROR(VLOOKUP($H17,M$4:N$43,2,FALSE),0)</f>
        <v>-7.1120000000000001</v>
      </c>
      <c r="F17" s="801" t="str">
        <f t="shared" si="2"/>
        <v>-</v>
      </c>
      <c r="G17" s="140" t="s">
        <v>363</v>
      </c>
      <c r="H17" s="140" t="s">
        <v>405</v>
      </c>
      <c r="I17" s="470" t="s">
        <v>284</v>
      </c>
      <c r="J17" s="477">
        <v>66.784999999999997</v>
      </c>
      <c r="K17" s="140" t="s">
        <v>284</v>
      </c>
      <c r="L17" s="477">
        <v>102.17100000000001</v>
      </c>
      <c r="M17" s="470" t="s">
        <v>284</v>
      </c>
      <c r="N17" s="477">
        <v>114.866</v>
      </c>
    </row>
    <row r="18" spans="2:14" ht="12.45" customHeight="1" x14ac:dyDescent="0.3">
      <c r="B18" s="341" t="s">
        <v>883</v>
      </c>
      <c r="C18" s="532">
        <f>C15-(C16+C17)</f>
        <v>-12.513999999999911</v>
      </c>
      <c r="D18" s="532">
        <f>D15-(D16+D17)</f>
        <v>-1.2149999999997689</v>
      </c>
      <c r="E18" s="532">
        <f>E15-(E16+E17)</f>
        <v>-2.8421709430404007E-14</v>
      </c>
      <c r="F18" s="801" t="str">
        <f>IF(ROUND(D18,1)&gt;0,E18*100/D18,"-")</f>
        <v>-</v>
      </c>
      <c r="I18" s="470" t="s">
        <v>288</v>
      </c>
      <c r="J18" s="477">
        <v>-2.0680000000000001</v>
      </c>
      <c r="K18" s="140" t="s">
        <v>288</v>
      </c>
      <c r="L18" s="477">
        <v>-2.2189999999999999</v>
      </c>
      <c r="M18" s="470" t="s">
        <v>288</v>
      </c>
      <c r="N18" s="477">
        <v>-2.4329999999999998</v>
      </c>
    </row>
    <row r="19" spans="2:14" ht="12.45" customHeight="1" x14ac:dyDescent="0.3">
      <c r="B19" s="652" t="s">
        <v>449</v>
      </c>
      <c r="C19" s="530">
        <f>IFERROR(VLOOKUP($G19,I$4:J$42,2,FALSE),0)</f>
        <v>6</v>
      </c>
      <c r="D19" s="530">
        <f>IFERROR(VLOOKUP($G19,K$4:L$42,2,FALSE),0)</f>
        <v>6</v>
      </c>
      <c r="E19" s="530">
        <f>IFERROR(VLOOKUP($G19,K$4:L$42,2,FALSE),0)</f>
        <v>6</v>
      </c>
      <c r="F19" s="799">
        <f t="shared" ref="F19:F26" si="7">IF(ROUND(D19,1)&gt;0,E19*100/D19,"-")</f>
        <v>100</v>
      </c>
      <c r="G19" s="140" t="s">
        <v>424</v>
      </c>
      <c r="I19" s="470" t="s">
        <v>292</v>
      </c>
      <c r="J19" s="477">
        <v>-17.285</v>
      </c>
      <c r="K19" s="140" t="s">
        <v>292</v>
      </c>
      <c r="L19" s="477">
        <v>-9.9</v>
      </c>
      <c r="M19" s="470" t="s">
        <v>292</v>
      </c>
      <c r="N19" s="477">
        <v>-3.0840000000000001</v>
      </c>
    </row>
    <row r="20" spans="2:14" ht="24" x14ac:dyDescent="0.3">
      <c r="B20" s="341" t="s">
        <v>956</v>
      </c>
      <c r="C20" s="533">
        <f>IFERROR(VLOOKUP($G20,I$4:J$42,2,FALSE),0)</f>
        <v>6</v>
      </c>
      <c r="D20" s="533">
        <f>IFERROR(VLOOKUP($G20,K$4:L$42,2,FALSE),0)</f>
        <v>6</v>
      </c>
      <c r="E20" s="533">
        <f>IFERROR(VLOOKUP($G20,M$4:N$42,2,FALSE),0)</f>
        <v>6</v>
      </c>
      <c r="F20" s="801">
        <f t="shared" si="7"/>
        <v>100</v>
      </c>
      <c r="G20" s="140" t="s">
        <v>428</v>
      </c>
      <c r="I20" s="470" t="s">
        <v>297</v>
      </c>
      <c r="J20" s="477">
        <v>137.40299999999999</v>
      </c>
      <c r="K20" s="140" t="s">
        <v>297</v>
      </c>
      <c r="L20" s="477">
        <v>143.30699999999999</v>
      </c>
      <c r="M20" s="470" t="s">
        <v>297</v>
      </c>
      <c r="N20" s="477">
        <v>150.23099999999999</v>
      </c>
    </row>
    <row r="21" spans="2:14" ht="12.45" customHeight="1" x14ac:dyDescent="0.3">
      <c r="B21" s="341" t="s">
        <v>884</v>
      </c>
      <c r="C21" s="533">
        <f>C19-C20</f>
        <v>0</v>
      </c>
      <c r="D21" s="533">
        <f t="shared" ref="D21:E21" si="8">D19-D20</f>
        <v>0</v>
      </c>
      <c r="E21" s="533">
        <f t="shared" si="8"/>
        <v>0</v>
      </c>
      <c r="F21" s="801" t="str">
        <f t="shared" si="7"/>
        <v>-</v>
      </c>
      <c r="G21"/>
      <c r="I21" s="470" t="s">
        <v>355</v>
      </c>
      <c r="J21" s="477">
        <v>-24.536000000000001</v>
      </c>
      <c r="K21" s="140" t="s">
        <v>355</v>
      </c>
      <c r="L21" s="477">
        <v>-13.422000000000001</v>
      </c>
      <c r="M21" s="470" t="s">
        <v>355</v>
      </c>
      <c r="N21" s="477">
        <v>-14.733000000000001</v>
      </c>
    </row>
    <row r="22" spans="2:14" ht="12.45" customHeight="1" x14ac:dyDescent="0.3">
      <c r="B22" s="655" t="s">
        <v>533</v>
      </c>
      <c r="C22" s="540">
        <f>IFERROR(VLOOKUP($G22,I$4:J$42,2,FALSE),0)</f>
        <v>58.287999999999997</v>
      </c>
      <c r="D22" s="540">
        <f>IFERROR(VLOOKUP($G22,K$4:L$42,2,FALSE),0)</f>
        <v>76.986999999999995</v>
      </c>
      <c r="E22" s="540">
        <f>IFERROR(VLOOKUP($G22,M$4:N$42,2,FALSE),0)</f>
        <v>80.2</v>
      </c>
      <c r="F22" s="798">
        <f t="shared" si="7"/>
        <v>104.1734318781093</v>
      </c>
      <c r="G22" s="140" t="s">
        <v>523</v>
      </c>
      <c r="I22" s="470" t="s">
        <v>357</v>
      </c>
      <c r="J22" s="477">
        <v>-24.536000000000001</v>
      </c>
      <c r="K22" s="140" t="s">
        <v>357</v>
      </c>
      <c r="L22" s="477">
        <v>-13.422000000000001</v>
      </c>
      <c r="M22" s="470" t="s">
        <v>357</v>
      </c>
      <c r="N22" s="477">
        <v>-14.733000000000001</v>
      </c>
    </row>
    <row r="23" spans="2:14" ht="24" x14ac:dyDescent="0.3">
      <c r="B23" s="654" t="s">
        <v>957</v>
      </c>
      <c r="C23" s="532">
        <f>IFERROR(VLOOKUP($G23,I$4:J$42,2,FALSE),0)</f>
        <v>58.287999999999997</v>
      </c>
      <c r="D23" s="532">
        <f>IFERROR(VLOOKUP($G23,K$4:L$42,2,FALSE),0)</f>
        <v>76.986999999999995</v>
      </c>
      <c r="E23" s="532">
        <f>IFERROR(VLOOKUP($G23,M$4:N$42,2,FALSE),0)</f>
        <v>80.2</v>
      </c>
      <c r="F23" s="801">
        <f t="shared" si="7"/>
        <v>104.1734318781093</v>
      </c>
      <c r="G23" s="140" t="s">
        <v>527</v>
      </c>
      <c r="I23" s="470" t="s">
        <v>363</v>
      </c>
      <c r="J23" s="477">
        <v>-3.45</v>
      </c>
      <c r="K23" s="140" t="s">
        <v>944</v>
      </c>
      <c r="L23" s="477">
        <v>-9.3680000000000003</v>
      </c>
      <c r="M23" s="470" t="s">
        <v>944</v>
      </c>
      <c r="N23" s="477">
        <v>-10.256</v>
      </c>
    </row>
    <row r="24" spans="2:14" ht="24" x14ac:dyDescent="0.3">
      <c r="B24" s="654" t="s">
        <v>948</v>
      </c>
      <c r="C24" s="532">
        <f>IFERROR(VLOOKUP($G24,I$4:J$42,2,FALSE),0)</f>
        <v>0</v>
      </c>
      <c r="D24" s="532">
        <f>IFERROR(VLOOKUP($G24,K$4:L$42,2,FALSE),0)</f>
        <v>0</v>
      </c>
      <c r="E24" s="532">
        <f>IFERROR(VLOOKUP($G24,M$4:N$42,2,FALSE),0)</f>
        <v>0</v>
      </c>
      <c r="F24" s="801" t="str">
        <f>IF(ROUND(D24,1)&gt;0,E24*100/D24,"-")</f>
        <v>-</v>
      </c>
      <c r="G24" s="630" t="s">
        <v>562</v>
      </c>
      <c r="I24" s="470" t="s">
        <v>391</v>
      </c>
      <c r="J24" s="477">
        <v>0</v>
      </c>
      <c r="K24" s="140" t="s">
        <v>363</v>
      </c>
      <c r="L24" s="477">
        <v>-3.08</v>
      </c>
      <c r="M24" s="470" t="s">
        <v>363</v>
      </c>
      <c r="N24" s="477">
        <v>-3.484</v>
      </c>
    </row>
    <row r="25" spans="2:14" x14ac:dyDescent="0.3">
      <c r="B25" s="654" t="s">
        <v>889</v>
      </c>
      <c r="C25" s="532">
        <f>IFERROR(VLOOKUP($G25,I$4:J$42,2,FALSE),0)</f>
        <v>0</v>
      </c>
      <c r="D25" s="532">
        <f>IFERROR(VLOOKUP($G25,K$4:L$42,2,FALSE),0)</f>
        <v>0</v>
      </c>
      <c r="E25" s="532">
        <f>IFERROR(VLOOKUP($G25,M$4:N$42,2,FALSE),0)</f>
        <v>0</v>
      </c>
      <c r="F25" s="801" t="str">
        <f>IF(ROUND(D25,1)&gt;0,E25*100/D25,"-")</f>
        <v>-</v>
      </c>
      <c r="G25" s="140" t="s">
        <v>571</v>
      </c>
      <c r="I25" s="470" t="s">
        <v>405</v>
      </c>
      <c r="J25" s="477">
        <v>-3.9460000000000002</v>
      </c>
      <c r="K25" s="140" t="s">
        <v>391</v>
      </c>
      <c r="L25" s="477">
        <v>0</v>
      </c>
      <c r="M25" s="470" t="s">
        <v>391</v>
      </c>
      <c r="N25" s="477">
        <v>0</v>
      </c>
    </row>
    <row r="26" spans="2:14" ht="12.45" customHeight="1" thickBot="1" x14ac:dyDescent="0.35">
      <c r="B26" s="656" t="s">
        <v>885</v>
      </c>
      <c r="C26" s="535">
        <f>IFERROR(VLOOKUP($G26,I$4:J$42,2,FALSE),0)+IFERROR(VLOOKUP($H26,I$4:J$42,2,FALSE),0)</f>
        <v>0</v>
      </c>
      <c r="D26" s="535">
        <f>IFERROR(VLOOKUP($G26,K$4:L$42,2,FALSE),0)+IFERROR(VLOOKUP($H26,K$4:L$42,2,FALSE),0)</f>
        <v>0</v>
      </c>
      <c r="E26" s="535">
        <f>IFERROR(VLOOKUP($G26,M$4:N$42,2,FALSE),0)+IFERROR(VLOOKUP($H26,M$4:N$42,2,FALSE),0)</f>
        <v>0</v>
      </c>
      <c r="F26" s="802" t="str">
        <f t="shared" si="7"/>
        <v>-</v>
      </c>
      <c r="G26" s="140" t="s">
        <v>585</v>
      </c>
      <c r="H26" s="140" t="s">
        <v>590</v>
      </c>
      <c r="I26" s="470" t="s">
        <v>410</v>
      </c>
      <c r="J26" s="477">
        <v>-11.007</v>
      </c>
      <c r="K26" s="140" t="s">
        <v>405</v>
      </c>
      <c r="L26" s="477">
        <v>-3.4369999999999998</v>
      </c>
      <c r="M26" s="470" t="s">
        <v>405</v>
      </c>
      <c r="N26" s="477">
        <v>-3.6280000000000001</v>
      </c>
    </row>
    <row r="27" spans="2:14" ht="24.75" customHeight="1" x14ac:dyDescent="0.3">
      <c r="G27" s="539" t="s">
        <v>891</v>
      </c>
      <c r="H27" s="539" t="s">
        <v>890</v>
      </c>
      <c r="I27" s="470" t="s">
        <v>424</v>
      </c>
      <c r="J27" s="477">
        <v>6</v>
      </c>
      <c r="K27" s="140" t="s">
        <v>410</v>
      </c>
      <c r="L27" s="477">
        <v>0</v>
      </c>
      <c r="M27" s="470" t="s">
        <v>410</v>
      </c>
      <c r="N27" s="477">
        <v>0</v>
      </c>
    </row>
    <row r="28" spans="2:14" x14ac:dyDescent="0.3">
      <c r="B28" s="629"/>
      <c r="G28" s="630"/>
      <c r="I28" s="470" t="s">
        <v>428</v>
      </c>
      <c r="J28" s="477">
        <v>6</v>
      </c>
      <c r="K28" s="140" t="s">
        <v>424</v>
      </c>
      <c r="L28" s="477">
        <v>6</v>
      </c>
      <c r="M28" s="470" t="s">
        <v>424</v>
      </c>
      <c r="N28" s="477">
        <v>6</v>
      </c>
    </row>
    <row r="29" spans="2:14" x14ac:dyDescent="0.3">
      <c r="G29"/>
      <c r="I29" s="470" t="s">
        <v>969</v>
      </c>
      <c r="J29" s="477">
        <v>6</v>
      </c>
      <c r="K29" s="467" t="s">
        <v>428</v>
      </c>
      <c r="L29" s="477">
        <v>6</v>
      </c>
      <c r="M29" s="471" t="s">
        <v>428</v>
      </c>
      <c r="N29" s="477">
        <v>6</v>
      </c>
    </row>
    <row r="30" spans="2:14" x14ac:dyDescent="0.3">
      <c r="G30"/>
      <c r="I30" s="470" t="s">
        <v>513</v>
      </c>
      <c r="J30" s="477">
        <v>0</v>
      </c>
      <c r="K30" s="467" t="s">
        <v>969</v>
      </c>
      <c r="L30" s="477">
        <v>6</v>
      </c>
      <c r="M30" s="471" t="s">
        <v>969</v>
      </c>
      <c r="N30" s="477">
        <v>6</v>
      </c>
    </row>
    <row r="31" spans="2:14" x14ac:dyDescent="0.3">
      <c r="I31" s="470" t="s">
        <v>520</v>
      </c>
      <c r="J31" s="477">
        <v>0</v>
      </c>
      <c r="K31" s="140" t="s">
        <v>513</v>
      </c>
      <c r="L31" s="477">
        <v>0</v>
      </c>
      <c r="M31" s="470" t="s">
        <v>513</v>
      </c>
      <c r="N31" s="477">
        <v>0</v>
      </c>
    </row>
    <row r="32" spans="2:14" x14ac:dyDescent="0.3">
      <c r="I32" s="470" t="s">
        <v>523</v>
      </c>
      <c r="J32" s="477">
        <v>58.287999999999997</v>
      </c>
      <c r="K32" s="140" t="s">
        <v>520</v>
      </c>
      <c r="L32" s="477">
        <v>0</v>
      </c>
      <c r="M32" s="470" t="s">
        <v>520</v>
      </c>
      <c r="N32" s="477">
        <v>0</v>
      </c>
    </row>
    <row r="33" spans="1:14" ht="15" customHeight="1" x14ac:dyDescent="0.3">
      <c r="I33" s="470" t="s">
        <v>527</v>
      </c>
      <c r="J33" s="477">
        <v>58.287999999999997</v>
      </c>
      <c r="K33" s="140" t="s">
        <v>523</v>
      </c>
      <c r="L33" s="477">
        <v>76.986999999999995</v>
      </c>
      <c r="M33" s="470" t="s">
        <v>523</v>
      </c>
      <c r="N33" s="477">
        <v>80.2</v>
      </c>
    </row>
    <row r="34" spans="1:14" ht="15" customHeight="1" x14ac:dyDescent="0.3">
      <c r="G34"/>
      <c r="I34" s="470" t="s">
        <v>970</v>
      </c>
      <c r="J34" s="477">
        <v>58.287999999999997</v>
      </c>
      <c r="K34" s="140" t="s">
        <v>527</v>
      </c>
      <c r="L34" s="477">
        <v>76.986999999999995</v>
      </c>
      <c r="M34" s="470" t="s">
        <v>527</v>
      </c>
      <c r="N34" s="477">
        <v>80.2</v>
      </c>
    </row>
    <row r="35" spans="1:14" ht="15" customHeight="1" x14ac:dyDescent="0.3">
      <c r="G35"/>
      <c r="I35" s="470" t="s">
        <v>571</v>
      </c>
      <c r="J35" s="477">
        <v>0</v>
      </c>
      <c r="K35" s="140" t="s">
        <v>970</v>
      </c>
      <c r="L35" s="477">
        <v>76.986999999999995</v>
      </c>
      <c r="M35" s="470" t="s">
        <v>970</v>
      </c>
      <c r="N35" s="477">
        <v>80.2</v>
      </c>
    </row>
    <row r="36" spans="1:14" ht="15" customHeight="1" x14ac:dyDescent="0.3">
      <c r="G36"/>
      <c r="I36" s="470" t="s">
        <v>585</v>
      </c>
      <c r="J36" s="477">
        <v>0</v>
      </c>
      <c r="K36" s="140" t="s">
        <v>571</v>
      </c>
      <c r="L36" s="477">
        <v>0</v>
      </c>
      <c r="M36" s="470" t="s">
        <v>571</v>
      </c>
      <c r="N36" s="477">
        <v>0</v>
      </c>
    </row>
    <row r="37" spans="1:14" ht="15" customHeight="1" x14ac:dyDescent="0.3">
      <c r="G37"/>
      <c r="I37" s="470" t="s">
        <v>590</v>
      </c>
      <c r="J37" s="477">
        <v>0</v>
      </c>
      <c r="K37" s="140" t="s">
        <v>585</v>
      </c>
      <c r="L37" s="477">
        <v>0</v>
      </c>
      <c r="M37" s="470" t="s">
        <v>585</v>
      </c>
      <c r="N37" s="477">
        <v>0</v>
      </c>
    </row>
    <row r="38" spans="1:14" ht="15" customHeight="1" x14ac:dyDescent="0.3">
      <c r="G38"/>
      <c r="I38" s="470"/>
      <c r="J38" s="477"/>
      <c r="K38" s="140" t="s">
        <v>590</v>
      </c>
      <c r="L38" s="477">
        <v>0</v>
      </c>
      <c r="M38" s="470" t="s">
        <v>590</v>
      </c>
      <c r="N38" s="477">
        <v>0</v>
      </c>
    </row>
    <row r="39" spans="1:14" ht="15" customHeight="1" x14ac:dyDescent="0.3">
      <c r="G39"/>
      <c r="I39" s="470"/>
      <c r="J39" s="477"/>
      <c r="L39" s="477"/>
      <c r="M39" s="470"/>
      <c r="N39" s="477"/>
    </row>
    <row r="40" spans="1:14" ht="15" customHeight="1" x14ac:dyDescent="0.3">
      <c r="G40"/>
      <c r="I40" s="470"/>
      <c r="J40" s="477"/>
      <c r="L40" s="477"/>
      <c r="M40" s="470"/>
      <c r="N40" s="477"/>
    </row>
    <row r="41" spans="1:14" ht="15" customHeight="1" x14ac:dyDescent="0.3">
      <c r="G41"/>
      <c r="I41" s="470"/>
      <c r="J41" s="477"/>
      <c r="L41" s="477"/>
      <c r="M41" s="470"/>
      <c r="N41" s="477"/>
    </row>
    <row r="42" spans="1:14" ht="15" customHeight="1" x14ac:dyDescent="0.3">
      <c r="I42" s="472"/>
      <c r="J42" s="478"/>
      <c r="K42" s="472"/>
      <c r="L42" s="478"/>
      <c r="M42" s="472"/>
      <c r="N42" s="478"/>
    </row>
    <row r="43" spans="1:14" ht="15" customHeight="1" x14ac:dyDescent="0.3">
      <c r="J43" s="468"/>
      <c r="L43" s="468"/>
      <c r="N43" s="468"/>
    </row>
    <row r="44" spans="1:14" ht="14.4" hidden="1" customHeight="1" x14ac:dyDescent="0.3">
      <c r="A44" s="142" t="s">
        <v>5</v>
      </c>
      <c r="B44" s="142"/>
      <c r="C44" s="142"/>
      <c r="D44" s="142"/>
      <c r="E44" s="142"/>
      <c r="F44" s="324" t="s">
        <v>695</v>
      </c>
      <c r="J44" s="468"/>
      <c r="L44" s="468"/>
      <c r="N44" s="468"/>
    </row>
    <row r="45" spans="1:14" ht="14.4" hidden="1" customHeight="1" x14ac:dyDescent="0.3">
      <c r="A45" s="932" t="s">
        <v>10</v>
      </c>
      <c r="B45" s="933"/>
      <c r="C45" s="473" t="str">
        <f>LEFT(I3,4)</f>
        <v>2023</v>
      </c>
      <c r="D45" s="474" t="str">
        <f>LEFT(K3,4)</f>
        <v>2024</v>
      </c>
      <c r="E45" s="474" t="str">
        <f>LEFT(M3,4)</f>
        <v>2025</v>
      </c>
      <c r="F45" s="288" t="s">
        <v>9</v>
      </c>
      <c r="J45" s="468"/>
      <c r="L45" s="468"/>
      <c r="N45" s="468"/>
    </row>
    <row r="46" spans="1:14" ht="22.2" hidden="1" customHeight="1" x14ac:dyDescent="0.3">
      <c r="A46" s="289" t="s">
        <v>4</v>
      </c>
      <c r="B46" s="290" t="s">
        <v>32</v>
      </c>
      <c r="C46" s="469">
        <f t="shared" ref="C46:C69" si="9">IFERROR(VLOOKUP($G46,I$4:J$42,2,FALSE),0)</f>
        <v>1188.3019999999999</v>
      </c>
      <c r="D46" s="292">
        <f t="shared" ref="D46:D69" si="10">IFERROR(VLOOKUP($G46,K$4:L$42,2,FALSE),0)</f>
        <v>1386.8430000000001</v>
      </c>
      <c r="E46" s="292">
        <f t="shared" ref="E46:E69" si="11">IFERROR(VLOOKUP($G46,M$4:N$42,2,FALSE),0)</f>
        <v>1514.645</v>
      </c>
      <c r="F46" s="293">
        <f t="shared" ref="F46:F55" si="12">IF(D46&gt;0,E46*100/D46,"-")</f>
        <v>109.21531853281157</v>
      </c>
      <c r="G46" s="140" t="s">
        <v>218</v>
      </c>
      <c r="J46" s="468"/>
      <c r="L46" s="468"/>
      <c r="N46" s="468"/>
    </row>
    <row r="47" spans="1:14" ht="17.25" hidden="1" customHeight="1" x14ac:dyDescent="0.3">
      <c r="A47" s="294" t="s">
        <v>33</v>
      </c>
      <c r="B47" s="295" t="s">
        <v>34</v>
      </c>
      <c r="C47" s="296">
        <f t="shared" si="9"/>
        <v>1130.0150000000001</v>
      </c>
      <c r="D47" s="297">
        <f t="shared" si="10"/>
        <v>1309.855</v>
      </c>
      <c r="E47" s="297">
        <f t="shared" si="11"/>
        <v>1434.4449999999999</v>
      </c>
      <c r="F47" s="298">
        <f t="shared" si="12"/>
        <v>109.51173984906727</v>
      </c>
      <c r="G47" s="140" t="s">
        <v>222</v>
      </c>
      <c r="J47" s="468"/>
      <c r="L47" s="468"/>
      <c r="N47" s="468"/>
    </row>
    <row r="48" spans="1:14" ht="27" hidden="1" customHeight="1" x14ac:dyDescent="0.3">
      <c r="A48" s="289" t="s">
        <v>67</v>
      </c>
      <c r="B48" s="290" t="s">
        <v>63</v>
      </c>
      <c r="C48" s="291">
        <f t="shared" si="9"/>
        <v>1124.0150000000001</v>
      </c>
      <c r="D48" s="292">
        <f t="shared" si="10"/>
        <v>1303.855</v>
      </c>
      <c r="E48" s="292">
        <f t="shared" si="11"/>
        <v>1428.4449999999999</v>
      </c>
      <c r="F48" s="293">
        <f t="shared" si="12"/>
        <v>109.55551039034248</v>
      </c>
      <c r="G48" s="140" t="s">
        <v>225</v>
      </c>
      <c r="J48" s="468"/>
      <c r="L48" s="468"/>
      <c r="N48" s="468"/>
    </row>
    <row r="49" spans="1:14" ht="14.4" hidden="1" customHeight="1" x14ac:dyDescent="0.3">
      <c r="A49" s="299" t="s">
        <v>35</v>
      </c>
      <c r="B49" s="300" t="s">
        <v>949</v>
      </c>
      <c r="C49" s="301">
        <f t="shared" si="9"/>
        <v>695.64099999999996</v>
      </c>
      <c r="D49" s="302">
        <f t="shared" si="10"/>
        <v>700.64099999999996</v>
      </c>
      <c r="E49" s="302">
        <f t="shared" si="11"/>
        <v>700.97299999999996</v>
      </c>
      <c r="F49" s="303">
        <f>IF(D49&gt;0,E49*100/D49,"-")</f>
        <v>100.04738518014217</v>
      </c>
      <c r="G49" s="140" t="s">
        <v>233</v>
      </c>
      <c r="J49" s="468"/>
      <c r="L49" s="468"/>
      <c r="N49" s="468"/>
    </row>
    <row r="50" spans="1:14" ht="14.4" hidden="1" customHeight="1" x14ac:dyDescent="0.3">
      <c r="A50" s="299" t="s">
        <v>36</v>
      </c>
      <c r="B50" s="300" t="s">
        <v>37</v>
      </c>
      <c r="C50" s="301">
        <f t="shared" si="9"/>
        <v>17.256</v>
      </c>
      <c r="D50" s="302">
        <f t="shared" si="10"/>
        <v>17.256</v>
      </c>
      <c r="E50" s="302">
        <f t="shared" si="11"/>
        <v>17.256</v>
      </c>
      <c r="F50" s="303">
        <f t="shared" si="12"/>
        <v>100</v>
      </c>
      <c r="G50" s="140" t="s">
        <v>242</v>
      </c>
      <c r="J50" s="468"/>
      <c r="L50" s="468"/>
      <c r="N50" s="468"/>
    </row>
    <row r="51" spans="1:14" ht="25.5" hidden="1" customHeight="1" x14ac:dyDescent="0.3">
      <c r="A51" s="299" t="s">
        <v>38</v>
      </c>
      <c r="B51" s="300" t="s">
        <v>266</v>
      </c>
      <c r="C51" s="301">
        <f t="shared" si="9"/>
        <v>-1.508</v>
      </c>
      <c r="D51" s="302">
        <f t="shared" si="10"/>
        <v>-1.2150000000000001</v>
      </c>
      <c r="E51" s="302">
        <f t="shared" si="11"/>
        <v>0</v>
      </c>
      <c r="F51" s="293" t="str">
        <f t="shared" si="12"/>
        <v>-</v>
      </c>
      <c r="G51" s="140" t="s">
        <v>264</v>
      </c>
      <c r="J51" s="468"/>
      <c r="L51" s="468"/>
      <c r="N51" s="468"/>
    </row>
    <row r="52" spans="1:14" ht="14.4" hidden="1" customHeight="1" x14ac:dyDescent="0.3">
      <c r="A52" s="299" t="s">
        <v>40</v>
      </c>
      <c r="B52" s="300" t="s">
        <v>39</v>
      </c>
      <c r="C52" s="301">
        <f t="shared" si="9"/>
        <v>270.72899999999998</v>
      </c>
      <c r="D52" s="302">
        <f t="shared" si="10"/>
        <v>373.75299999999999</v>
      </c>
      <c r="E52" s="302">
        <f t="shared" si="11"/>
        <v>472.48099999999999</v>
      </c>
      <c r="F52" s="303">
        <f t="shared" si="12"/>
        <v>126.41530636543386</v>
      </c>
      <c r="G52" s="140" t="s">
        <v>276</v>
      </c>
      <c r="J52" s="468"/>
      <c r="L52" s="468"/>
      <c r="N52" s="468"/>
    </row>
    <row r="53" spans="1:14" ht="14.4" hidden="1" customHeight="1" x14ac:dyDescent="0.3">
      <c r="A53" s="299" t="s">
        <v>42</v>
      </c>
      <c r="B53" s="300" t="s">
        <v>41</v>
      </c>
      <c r="C53" s="301">
        <f t="shared" si="9"/>
        <v>64.716999999999999</v>
      </c>
      <c r="D53" s="302">
        <f t="shared" si="10"/>
        <v>99.951999999999998</v>
      </c>
      <c r="E53" s="302">
        <f t="shared" si="11"/>
        <v>112.43300000000001</v>
      </c>
      <c r="F53" s="303">
        <f t="shared" si="12"/>
        <v>112.48699375700338</v>
      </c>
      <c r="G53" s="140" t="s">
        <v>280</v>
      </c>
      <c r="J53" s="468"/>
      <c r="L53" s="468"/>
      <c r="N53" s="468"/>
    </row>
    <row r="54" spans="1:14" ht="14.4" hidden="1" customHeight="1" x14ac:dyDescent="0.3">
      <c r="A54" s="299" t="s">
        <v>44</v>
      </c>
      <c r="B54" s="300" t="s">
        <v>43</v>
      </c>
      <c r="C54" s="301">
        <f t="shared" si="9"/>
        <v>-17.285</v>
      </c>
      <c r="D54" s="302">
        <f t="shared" si="10"/>
        <v>-9.9</v>
      </c>
      <c r="E54" s="302">
        <f t="shared" si="11"/>
        <v>-3.0840000000000001</v>
      </c>
      <c r="F54" s="303" t="str">
        <f t="shared" si="12"/>
        <v>-</v>
      </c>
      <c r="G54" s="140" t="s">
        <v>292</v>
      </c>
      <c r="J54" s="468"/>
      <c r="L54" s="468"/>
      <c r="N54" s="468"/>
    </row>
    <row r="55" spans="1:14" ht="14.4" hidden="1" customHeight="1" x14ac:dyDescent="0.3">
      <c r="A55" s="299" t="s">
        <v>46</v>
      </c>
      <c r="B55" s="300" t="s">
        <v>45</v>
      </c>
      <c r="C55" s="301">
        <f t="shared" si="9"/>
        <v>137.40299999999999</v>
      </c>
      <c r="D55" s="302">
        <f t="shared" si="10"/>
        <v>143.30699999999999</v>
      </c>
      <c r="E55" s="302">
        <f t="shared" si="11"/>
        <v>150.23099999999999</v>
      </c>
      <c r="F55" s="303">
        <f t="shared" si="12"/>
        <v>104.83158533777136</v>
      </c>
      <c r="G55" s="140" t="s">
        <v>297</v>
      </c>
      <c r="J55" s="468"/>
      <c r="L55" s="468"/>
      <c r="N55" s="468"/>
    </row>
    <row r="56" spans="1:14" ht="14.4" hidden="1" customHeight="1" x14ac:dyDescent="0.3">
      <c r="A56" s="299" t="s">
        <v>47</v>
      </c>
      <c r="B56" s="300" t="s">
        <v>64</v>
      </c>
      <c r="C56" s="301">
        <f t="shared" si="9"/>
        <v>-24.536000000000001</v>
      </c>
      <c r="D56" s="302">
        <f t="shared" si="10"/>
        <v>-13.422000000000001</v>
      </c>
      <c r="E56" s="302">
        <f t="shared" si="11"/>
        <v>-14.733000000000001</v>
      </c>
      <c r="F56" s="303">
        <f>IF(D56&lt;&gt;0,E56*100/D56,"-")</f>
        <v>109.76754582029503</v>
      </c>
      <c r="G56" s="140" t="s">
        <v>355</v>
      </c>
      <c r="J56" s="468"/>
      <c r="L56" s="468"/>
      <c r="N56" s="468"/>
    </row>
    <row r="57" spans="1:14" ht="36" hidden="1" customHeight="1" x14ac:dyDescent="0.3">
      <c r="A57" s="299" t="s">
        <v>48</v>
      </c>
      <c r="B57" s="300" t="s">
        <v>138</v>
      </c>
      <c r="C57" s="301">
        <f t="shared" si="9"/>
        <v>-3.45</v>
      </c>
      <c r="D57" s="302">
        <f t="shared" si="10"/>
        <v>-3.08</v>
      </c>
      <c r="E57" s="302">
        <f t="shared" si="11"/>
        <v>-3.484</v>
      </c>
      <c r="F57" s="303">
        <f>IF(D57&lt;&gt;0,E57*100/D57,"-")</f>
        <v>113.1168831168831</v>
      </c>
      <c r="G57" s="140" t="s">
        <v>363</v>
      </c>
    </row>
    <row r="58" spans="1:14" ht="24" hidden="1" customHeight="1" x14ac:dyDescent="0.3">
      <c r="A58" s="299" t="s">
        <v>137</v>
      </c>
      <c r="B58" s="300" t="s">
        <v>49</v>
      </c>
      <c r="C58" s="301">
        <f t="shared" si="9"/>
        <v>0</v>
      </c>
      <c r="D58" s="302">
        <f t="shared" si="10"/>
        <v>0</v>
      </c>
      <c r="E58" s="302">
        <f t="shared" si="11"/>
        <v>0</v>
      </c>
      <c r="F58" s="303" t="str">
        <f>IF(D58&gt;0,E58*100/D58,"-")</f>
        <v>-</v>
      </c>
      <c r="G58" s="140" t="s">
        <v>391</v>
      </c>
    </row>
    <row r="59" spans="1:14" ht="24" hidden="1" customHeight="1" x14ac:dyDescent="0.3">
      <c r="A59" s="299" t="s">
        <v>356</v>
      </c>
      <c r="B59" s="300" t="s">
        <v>139</v>
      </c>
      <c r="C59" s="301">
        <f t="shared" si="9"/>
        <v>-3.9460000000000002</v>
      </c>
      <c r="D59" s="302">
        <f t="shared" si="10"/>
        <v>-3.4369999999999998</v>
      </c>
      <c r="E59" s="302">
        <f t="shared" si="11"/>
        <v>-3.6280000000000001</v>
      </c>
      <c r="F59" s="303">
        <f>IF(D59&lt;&gt;0,E59*100/D59,"-")</f>
        <v>105.55717195228398</v>
      </c>
      <c r="G59" s="140" t="s">
        <v>405</v>
      </c>
    </row>
    <row r="60" spans="1:14" ht="14.4" hidden="1" customHeight="1" x14ac:dyDescent="0.3">
      <c r="A60" s="289" t="s">
        <v>68</v>
      </c>
      <c r="B60" s="290" t="s">
        <v>65</v>
      </c>
      <c r="C60" s="291">
        <f t="shared" si="9"/>
        <v>6</v>
      </c>
      <c r="D60" s="292">
        <f t="shared" si="10"/>
        <v>6</v>
      </c>
      <c r="E60" s="292">
        <f t="shared" si="11"/>
        <v>6</v>
      </c>
      <c r="F60" s="293">
        <f t="shared" ref="F60:F69" si="13">IF(D60&gt;0,E60*100/D60,"-")</f>
        <v>100</v>
      </c>
      <c r="G60" s="140" t="s">
        <v>424</v>
      </c>
    </row>
    <row r="61" spans="1:14" ht="24" hidden="1" customHeight="1" x14ac:dyDescent="0.3">
      <c r="A61" s="299" t="s">
        <v>50</v>
      </c>
      <c r="B61" s="300" t="s">
        <v>950</v>
      </c>
      <c r="C61" s="301">
        <f t="shared" si="9"/>
        <v>6</v>
      </c>
      <c r="D61" s="302">
        <f t="shared" si="10"/>
        <v>6</v>
      </c>
      <c r="E61" s="302">
        <f t="shared" si="11"/>
        <v>6</v>
      </c>
      <c r="F61" s="303">
        <f t="shared" si="13"/>
        <v>100</v>
      </c>
      <c r="G61" s="140" t="s">
        <v>428</v>
      </c>
    </row>
    <row r="62" spans="1:14" ht="24" hidden="1" customHeight="1" x14ac:dyDescent="0.3">
      <c r="A62" s="299" t="s">
        <v>51</v>
      </c>
      <c r="B62" s="300" t="s">
        <v>52</v>
      </c>
      <c r="C62" s="301">
        <f t="shared" si="9"/>
        <v>0</v>
      </c>
      <c r="D62" s="302">
        <f t="shared" si="10"/>
        <v>0</v>
      </c>
      <c r="E62" s="302">
        <f t="shared" si="11"/>
        <v>0</v>
      </c>
      <c r="F62" s="303" t="str">
        <f t="shared" si="13"/>
        <v>-</v>
      </c>
      <c r="G62" s="140" t="s">
        <v>513</v>
      </c>
    </row>
    <row r="63" spans="1:14" ht="36" hidden="1" customHeight="1" x14ac:dyDescent="0.3">
      <c r="A63" s="304" t="s">
        <v>53</v>
      </c>
      <c r="B63" s="305" t="s">
        <v>54</v>
      </c>
      <c r="C63" s="306">
        <f t="shared" si="9"/>
        <v>0</v>
      </c>
      <c r="D63" s="307">
        <f t="shared" si="10"/>
        <v>0</v>
      </c>
      <c r="E63" s="307">
        <f t="shared" si="11"/>
        <v>0</v>
      </c>
      <c r="F63" s="303" t="str">
        <f>IF(D63&gt;0,E63*100/D63,"-")</f>
        <v>-</v>
      </c>
      <c r="G63" s="140" t="s">
        <v>520</v>
      </c>
    </row>
    <row r="64" spans="1:14" ht="14.4" hidden="1" customHeight="1" x14ac:dyDescent="0.3">
      <c r="A64" s="289" t="s">
        <v>55</v>
      </c>
      <c r="B64" s="290" t="s">
        <v>66</v>
      </c>
      <c r="C64" s="291">
        <f t="shared" si="9"/>
        <v>58.287999999999997</v>
      </c>
      <c r="D64" s="292">
        <f t="shared" si="10"/>
        <v>76.986999999999995</v>
      </c>
      <c r="E64" s="292">
        <f t="shared" si="11"/>
        <v>80.2</v>
      </c>
      <c r="F64" s="293">
        <f t="shared" si="13"/>
        <v>104.1734318781093</v>
      </c>
      <c r="G64" s="140" t="s">
        <v>523</v>
      </c>
    </row>
    <row r="65" spans="1:7" ht="24" hidden="1" customHeight="1" x14ac:dyDescent="0.3">
      <c r="A65" s="299" t="s">
        <v>56</v>
      </c>
      <c r="B65" s="300" t="s">
        <v>951</v>
      </c>
      <c r="C65" s="301">
        <f t="shared" si="9"/>
        <v>58.287999999999997</v>
      </c>
      <c r="D65" s="302">
        <f t="shared" si="10"/>
        <v>76.986999999999995</v>
      </c>
      <c r="E65" s="302">
        <f t="shared" si="11"/>
        <v>80.2</v>
      </c>
      <c r="F65" s="303">
        <f t="shared" si="13"/>
        <v>104.1734318781093</v>
      </c>
      <c r="G65" s="140" t="s">
        <v>527</v>
      </c>
    </row>
    <row r="66" spans="1:7" ht="24" hidden="1" customHeight="1" x14ac:dyDescent="0.3">
      <c r="A66" s="299"/>
      <c r="B66" s="629" t="s">
        <v>948</v>
      </c>
      <c r="C66" s="301">
        <f>IFERROR(VLOOKUP($G66,I$4:J$42,2,FALSE),0)</f>
        <v>0</v>
      </c>
      <c r="D66" s="302">
        <f>IFERROR(VLOOKUP($G66,K$4:L$42,2,FALSE),0)</f>
        <v>0</v>
      </c>
      <c r="E66" s="302">
        <f>IFERROR(VLOOKUP($G66,M$4:N$42,2,FALSE),0)</f>
        <v>0</v>
      </c>
      <c r="F66" s="303" t="str">
        <f t="shared" si="13"/>
        <v>-</v>
      </c>
      <c r="G66" s="140" t="s">
        <v>562</v>
      </c>
    </row>
    <row r="67" spans="1:7" ht="24" hidden="1" customHeight="1" x14ac:dyDescent="0.3">
      <c r="A67" s="299" t="s">
        <v>57</v>
      </c>
      <c r="B67" s="300" t="s">
        <v>58</v>
      </c>
      <c r="C67" s="301">
        <f>IFERROR(VLOOKUP($G67,I$4:J$42,2,FALSE),0)</f>
        <v>0</v>
      </c>
      <c r="D67" s="302">
        <f t="shared" si="10"/>
        <v>0</v>
      </c>
      <c r="E67" s="302">
        <f t="shared" si="11"/>
        <v>0</v>
      </c>
      <c r="F67" s="303" t="str">
        <f t="shared" si="13"/>
        <v>-</v>
      </c>
      <c r="G67" s="140" t="s">
        <v>571</v>
      </c>
    </row>
    <row r="68" spans="1:7" ht="24" hidden="1" customHeight="1" x14ac:dyDescent="0.3">
      <c r="A68" s="299" t="s">
        <v>59</v>
      </c>
      <c r="B68" s="300" t="s">
        <v>60</v>
      </c>
      <c r="C68" s="301">
        <f t="shared" si="9"/>
        <v>0</v>
      </c>
      <c r="D68" s="302">
        <f t="shared" si="10"/>
        <v>0</v>
      </c>
      <c r="E68" s="302">
        <f t="shared" si="11"/>
        <v>0</v>
      </c>
      <c r="F68" s="303" t="str">
        <f t="shared" si="13"/>
        <v>-</v>
      </c>
      <c r="G68" s="140" t="s">
        <v>585</v>
      </c>
    </row>
    <row r="69" spans="1:7" ht="24.6" hidden="1" customHeight="1" x14ac:dyDescent="0.3">
      <c r="A69" s="308" t="s">
        <v>61</v>
      </c>
      <c r="B69" s="309" t="s">
        <v>62</v>
      </c>
      <c r="C69" s="310">
        <f t="shared" si="9"/>
        <v>0</v>
      </c>
      <c r="D69" s="311">
        <f t="shared" si="10"/>
        <v>0</v>
      </c>
      <c r="E69" s="311">
        <f t="shared" si="11"/>
        <v>0</v>
      </c>
      <c r="F69" s="312" t="str">
        <f t="shared" si="13"/>
        <v>-</v>
      </c>
      <c r="G69" s="140" t="s">
        <v>590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BB1-A6C9-49B5-83C3-47ED914A762E}">
  <sheetPr codeName="Sheet102">
    <tabColor theme="5" tint="0.79998168889431442"/>
  </sheetPr>
  <dimension ref="A1:G35"/>
  <sheetViews>
    <sheetView zoomScaleNormal="100" workbookViewId="0"/>
  </sheetViews>
  <sheetFormatPr defaultColWidth="8.6640625" defaultRowHeight="14.4" x14ac:dyDescent="0.3"/>
  <cols>
    <col min="1" max="1" width="9.5546875" customWidth="1"/>
    <col min="2" max="2" width="111.5546875" customWidth="1"/>
    <col min="3" max="5" width="8.44140625" customWidth="1"/>
    <col min="6" max="6" width="6.5546875" customWidth="1"/>
    <col min="7" max="7" width="9.109375" style="140" customWidth="1"/>
  </cols>
  <sheetData>
    <row r="1" spans="1:7" ht="15" thickBot="1" x14ac:dyDescent="0.35">
      <c r="A1" s="437" t="s">
        <v>692</v>
      </c>
      <c r="B1" s="437"/>
      <c r="C1" s="438"/>
      <c r="D1" s="438"/>
      <c r="F1" s="21" t="s">
        <v>11</v>
      </c>
    </row>
    <row r="2" spans="1:7" ht="15.75" customHeight="1" x14ac:dyDescent="0.3">
      <c r="A2" s="936" t="s">
        <v>10</v>
      </c>
      <c r="B2" s="937"/>
      <c r="C2" s="439" t="s">
        <v>952</v>
      </c>
      <c r="D2" s="439" t="s">
        <v>958</v>
      </c>
      <c r="E2" s="439" t="s">
        <v>961</v>
      </c>
      <c r="F2" s="451" t="s">
        <v>14</v>
      </c>
    </row>
    <row r="3" spans="1:7" ht="12" customHeight="1" x14ac:dyDescent="0.3">
      <c r="A3" s="456">
        <v>1</v>
      </c>
      <c r="B3" s="456">
        <v>2</v>
      </c>
      <c r="C3" s="456">
        <v>3</v>
      </c>
      <c r="D3" s="456">
        <v>4</v>
      </c>
      <c r="E3" s="456">
        <v>5</v>
      </c>
      <c r="F3" s="457" t="s">
        <v>149</v>
      </c>
    </row>
    <row r="4" spans="1:7" ht="14.1" customHeight="1" x14ac:dyDescent="0.3">
      <c r="A4" s="440" t="s">
        <v>219</v>
      </c>
      <c r="B4" s="441" t="s">
        <v>32</v>
      </c>
      <c r="C4" s="442">
        <v>1188302.4099999999</v>
      </c>
      <c r="D4" s="442">
        <v>1386842.811</v>
      </c>
      <c r="E4" s="442">
        <v>1514645.034</v>
      </c>
      <c r="F4" s="452">
        <f t="shared" ref="F4:F13" si="0">IF(D4&gt;0,E4*100/D4,"-")</f>
        <v>109.21533586837046</v>
      </c>
      <c r="G4" s="140" t="s">
        <v>218</v>
      </c>
    </row>
    <row r="5" spans="1:7" ht="14.1" customHeight="1" x14ac:dyDescent="0.3">
      <c r="A5" s="443" t="s">
        <v>223</v>
      </c>
      <c r="B5" s="444" t="s">
        <v>34</v>
      </c>
      <c r="C5" s="445">
        <v>1130014.702</v>
      </c>
      <c r="D5" s="445">
        <v>1309855.456</v>
      </c>
      <c r="E5" s="445">
        <v>1434444.6880000001</v>
      </c>
      <c r="F5" s="453">
        <f t="shared" si="0"/>
        <v>109.51167790532149</v>
      </c>
      <c r="G5" s="140" t="s">
        <v>222</v>
      </c>
    </row>
    <row r="6" spans="1:7" ht="14.1" customHeight="1" x14ac:dyDescent="0.3">
      <c r="A6" s="446" t="s">
        <v>227</v>
      </c>
      <c r="B6" s="447" t="s">
        <v>887</v>
      </c>
      <c r="C6" s="448">
        <v>1124014.702</v>
      </c>
      <c r="D6" s="448">
        <v>1303855.456</v>
      </c>
      <c r="E6" s="448">
        <v>1428444.6880000001</v>
      </c>
      <c r="F6" s="452">
        <f t="shared" si="0"/>
        <v>109.55544814623993</v>
      </c>
      <c r="G6" s="140" t="s">
        <v>225</v>
      </c>
    </row>
    <row r="7" spans="1:7" ht="14.1" customHeight="1" x14ac:dyDescent="0.3">
      <c r="A7" s="449" t="s">
        <v>231</v>
      </c>
      <c r="B7" s="18" t="s">
        <v>971</v>
      </c>
      <c r="C7" s="450">
        <v>711389.46400000004</v>
      </c>
      <c r="D7" s="450">
        <v>716682.549</v>
      </c>
      <c r="E7" s="450">
        <v>718229.68900000001</v>
      </c>
      <c r="F7" s="453">
        <f t="shared" si="0"/>
        <v>100.21587521590401</v>
      </c>
      <c r="G7" s="140" t="s">
        <v>229</v>
      </c>
    </row>
    <row r="8" spans="1:7" ht="14.1" customHeight="1" x14ac:dyDescent="0.3">
      <c r="A8" s="446" t="s">
        <v>235</v>
      </c>
      <c r="B8" s="447" t="s">
        <v>972</v>
      </c>
      <c r="C8" s="448">
        <v>695640.946</v>
      </c>
      <c r="D8" s="448">
        <v>700640.946</v>
      </c>
      <c r="E8" s="448">
        <v>700973.23499999999</v>
      </c>
      <c r="F8" s="452">
        <f t="shared" si="0"/>
        <v>100.0474264317404</v>
      </c>
      <c r="G8" s="140" t="s">
        <v>233</v>
      </c>
    </row>
    <row r="9" spans="1:7" x14ac:dyDescent="0.3">
      <c r="A9" s="449" t="s">
        <v>244</v>
      </c>
      <c r="B9" s="18" t="s">
        <v>245</v>
      </c>
      <c r="C9" s="450">
        <v>1446.34</v>
      </c>
      <c r="D9" s="450">
        <v>1446.34</v>
      </c>
      <c r="E9" s="450">
        <v>1114.0509999999999</v>
      </c>
      <c r="F9" s="453">
        <f t="shared" si="0"/>
        <v>77.025526501375879</v>
      </c>
      <c r="G9" s="140" t="s">
        <v>237</v>
      </c>
    </row>
    <row r="10" spans="1:7" ht="14.1" customHeight="1" x14ac:dyDescent="0.3">
      <c r="A10" s="446" t="s">
        <v>248</v>
      </c>
      <c r="B10" s="447" t="s">
        <v>249</v>
      </c>
      <c r="C10" s="448">
        <v>17256.455000000002</v>
      </c>
      <c r="D10" s="448">
        <v>17256.455000000002</v>
      </c>
      <c r="E10" s="448">
        <v>17256.455000000002</v>
      </c>
      <c r="F10" s="452">
        <f t="shared" si="0"/>
        <v>100</v>
      </c>
      <c r="G10" s="140" t="s">
        <v>242</v>
      </c>
    </row>
    <row r="11" spans="1:7" ht="14.1" customHeight="1" x14ac:dyDescent="0.3">
      <c r="A11" s="449" t="s">
        <v>252</v>
      </c>
      <c r="B11" s="18" t="s">
        <v>253</v>
      </c>
      <c r="C11" s="450">
        <v>-1507.9359999999999</v>
      </c>
      <c r="D11" s="450">
        <v>-1214.8510000000001</v>
      </c>
      <c r="E11" s="450">
        <v>0</v>
      </c>
      <c r="F11" s="453" t="str">
        <f t="shared" si="0"/>
        <v>-</v>
      </c>
      <c r="G11" s="140" t="s">
        <v>246</v>
      </c>
    </row>
    <row r="12" spans="1:7" ht="14.1" customHeight="1" x14ac:dyDescent="0.3">
      <c r="A12" s="446" t="s">
        <v>265</v>
      </c>
      <c r="B12" s="447" t="s">
        <v>266</v>
      </c>
      <c r="C12" s="448">
        <v>-1507.9359999999999</v>
      </c>
      <c r="D12" s="448">
        <v>-1214.8510000000001</v>
      </c>
      <c r="E12" s="448">
        <v>0</v>
      </c>
      <c r="F12" s="452" t="str">
        <f t="shared" si="0"/>
        <v>-</v>
      </c>
      <c r="G12" s="140" t="s">
        <v>264</v>
      </c>
    </row>
    <row r="13" spans="1:7" ht="14.1" customHeight="1" x14ac:dyDescent="0.3">
      <c r="A13" s="449" t="s">
        <v>274</v>
      </c>
      <c r="B13" s="18" t="s">
        <v>275</v>
      </c>
      <c r="C13" s="450">
        <v>335446.13299999997</v>
      </c>
      <c r="D13" s="450">
        <v>473704.94</v>
      </c>
      <c r="E13" s="450">
        <v>584913.90800000005</v>
      </c>
      <c r="F13" s="453">
        <f t="shared" si="0"/>
        <v>123.47642141962886</v>
      </c>
      <c r="G13" s="141">
        <v>130</v>
      </c>
    </row>
    <row r="14" spans="1:7" ht="14.1" customHeight="1" x14ac:dyDescent="0.3">
      <c r="A14" s="446" t="s">
        <v>278</v>
      </c>
      <c r="B14" s="447" t="s">
        <v>279</v>
      </c>
      <c r="C14" s="448">
        <v>270729.39500000002</v>
      </c>
      <c r="D14" s="448">
        <v>373752.79399999999</v>
      </c>
      <c r="E14" s="448">
        <v>472480.68300000002</v>
      </c>
      <c r="F14" s="452">
        <f>IF(D14&lt;&gt;0,E14*100/D14,"-")</f>
        <v>126.41529122588982</v>
      </c>
      <c r="G14" s="141">
        <v>140</v>
      </c>
    </row>
    <row r="15" spans="1:7" x14ac:dyDescent="0.3">
      <c r="A15" s="449" t="s">
        <v>282</v>
      </c>
      <c r="B15" s="18" t="s">
        <v>283</v>
      </c>
      <c r="C15" s="450">
        <v>64716.737000000001</v>
      </c>
      <c r="D15" s="450">
        <v>99952.145999999993</v>
      </c>
      <c r="E15" s="450">
        <v>112433.22500000001</v>
      </c>
      <c r="F15" s="453">
        <f>IF(D15&lt;&gt;0,E15*100/D15,"-")</f>
        <v>112.4870545550868</v>
      </c>
      <c r="G15" s="141">
        <v>150</v>
      </c>
    </row>
    <row r="16" spans="1:7" x14ac:dyDescent="0.3">
      <c r="A16" s="446" t="s">
        <v>286</v>
      </c>
      <c r="B16" s="447" t="s">
        <v>287</v>
      </c>
      <c r="C16" s="448">
        <v>66785.22</v>
      </c>
      <c r="D16" s="448">
        <v>102170.73299999999</v>
      </c>
      <c r="E16" s="448">
        <v>114866.098</v>
      </c>
      <c r="F16" s="452">
        <f>IF(D16&gt;0,E16*100/D16,"-")</f>
        <v>112.42563758449302</v>
      </c>
      <c r="G16" s="141">
        <v>160</v>
      </c>
    </row>
    <row r="17" spans="1:7" x14ac:dyDescent="0.3">
      <c r="A17" s="449" t="s">
        <v>290</v>
      </c>
      <c r="B17" s="18" t="s">
        <v>291</v>
      </c>
      <c r="C17" s="450">
        <v>-2068.4830000000002</v>
      </c>
      <c r="D17" s="450">
        <v>-2218.5859999999998</v>
      </c>
      <c r="E17" s="450">
        <v>-2432.8719999999998</v>
      </c>
      <c r="F17" s="453">
        <f>IF(D17&lt;&gt;0,E17*100/D17,"-")</f>
        <v>109.65867448906646</v>
      </c>
      <c r="G17" s="141">
        <v>170</v>
      </c>
    </row>
    <row r="18" spans="1:7" ht="14.1" customHeight="1" x14ac:dyDescent="0.3">
      <c r="A18" s="446" t="s">
        <v>294</v>
      </c>
      <c r="B18" s="447" t="s">
        <v>43</v>
      </c>
      <c r="C18" s="448">
        <v>-17285.151000000002</v>
      </c>
      <c r="D18" s="448">
        <v>-9899.8269999999993</v>
      </c>
      <c r="E18" s="448">
        <v>-3083.9490000000001</v>
      </c>
      <c r="F18" s="452" t="str">
        <f t="shared" ref="F18:F33" si="1">IF(D18&gt;0,E18*100/D18,"-")</f>
        <v>-</v>
      </c>
      <c r="G18" s="141">
        <v>180</v>
      </c>
    </row>
    <row r="19" spans="1:7" ht="14.1" customHeight="1" x14ac:dyDescent="0.3">
      <c r="A19" s="446" t="s">
        <v>298</v>
      </c>
      <c r="B19" s="447" t="s">
        <v>45</v>
      </c>
      <c r="C19" s="448">
        <v>137402.58499999999</v>
      </c>
      <c r="D19" s="448">
        <v>143307.024</v>
      </c>
      <c r="E19" s="448">
        <v>150230.557</v>
      </c>
      <c r="F19" s="454">
        <f t="shared" si="1"/>
        <v>104.83125865484443</v>
      </c>
      <c r="G19" s="140" t="s">
        <v>297</v>
      </c>
    </row>
    <row r="20" spans="1:7" x14ac:dyDescent="0.3">
      <c r="A20" s="449" t="s">
        <v>356</v>
      </c>
      <c r="B20" s="18" t="s">
        <v>64</v>
      </c>
      <c r="C20" s="450">
        <v>-24535.776999999998</v>
      </c>
      <c r="D20" s="450">
        <v>-13421.839</v>
      </c>
      <c r="E20" s="450">
        <v>-14733.231</v>
      </c>
      <c r="F20" s="455" t="str">
        <f t="shared" si="1"/>
        <v>-</v>
      </c>
      <c r="G20" s="140" t="s">
        <v>355</v>
      </c>
    </row>
    <row r="21" spans="1:7" x14ac:dyDescent="0.3">
      <c r="A21" s="446" t="s">
        <v>358</v>
      </c>
      <c r="B21" s="447" t="s">
        <v>359</v>
      </c>
      <c r="C21" s="448">
        <v>-24535.776999999998</v>
      </c>
      <c r="D21" s="448">
        <v>-13421.839</v>
      </c>
      <c r="E21" s="448">
        <v>-14733.231</v>
      </c>
      <c r="F21" s="454" t="str">
        <f t="shared" si="1"/>
        <v>-</v>
      </c>
      <c r="G21" s="140" t="s">
        <v>357</v>
      </c>
    </row>
    <row r="22" spans="1:7" ht="14.1" customHeight="1" x14ac:dyDescent="0.3">
      <c r="A22" s="443" t="s">
        <v>945</v>
      </c>
      <c r="B22" s="444" t="s">
        <v>973</v>
      </c>
      <c r="C22" s="445">
        <v>0</v>
      </c>
      <c r="D22" s="445">
        <v>-9368.3439999999991</v>
      </c>
      <c r="E22" s="445">
        <v>-10255.806</v>
      </c>
      <c r="F22" s="453" t="str">
        <f t="shared" si="1"/>
        <v>-</v>
      </c>
      <c r="G22" s="140" t="s">
        <v>944</v>
      </c>
    </row>
    <row r="23" spans="1:7" ht="24" x14ac:dyDescent="0.3">
      <c r="A23" s="446" t="s">
        <v>364</v>
      </c>
      <c r="B23" s="447" t="s">
        <v>365</v>
      </c>
      <c r="C23" s="448">
        <v>-3449.944</v>
      </c>
      <c r="D23" s="448">
        <v>-3080.3989999999999</v>
      </c>
      <c r="E23" s="448">
        <v>-3484.183</v>
      </c>
      <c r="F23" s="452" t="str">
        <f t="shared" si="1"/>
        <v>-</v>
      </c>
      <c r="G23" s="140" t="s">
        <v>363</v>
      </c>
    </row>
    <row r="24" spans="1:7" x14ac:dyDescent="0.3">
      <c r="A24" s="449" t="s">
        <v>422</v>
      </c>
      <c r="B24" s="18" t="s">
        <v>423</v>
      </c>
      <c r="C24" s="450">
        <v>-3945.6080000000002</v>
      </c>
      <c r="D24" s="450">
        <v>-3436.9920000000002</v>
      </c>
      <c r="E24" s="450">
        <v>-3628.1030000000001</v>
      </c>
      <c r="F24" s="455" t="str">
        <f t="shared" si="1"/>
        <v>-</v>
      </c>
      <c r="G24" s="140" t="s">
        <v>405</v>
      </c>
    </row>
    <row r="25" spans="1:7" x14ac:dyDescent="0.3">
      <c r="A25" s="446" t="s">
        <v>426</v>
      </c>
      <c r="B25" s="447" t="s">
        <v>427</v>
      </c>
      <c r="C25" s="448">
        <v>-11007</v>
      </c>
      <c r="D25" s="448">
        <v>0</v>
      </c>
      <c r="E25" s="448">
        <v>0</v>
      </c>
      <c r="F25" s="452" t="str">
        <f t="shared" si="1"/>
        <v>-</v>
      </c>
      <c r="G25" s="140" t="s">
        <v>410</v>
      </c>
    </row>
    <row r="26" spans="1:7" x14ac:dyDescent="0.3">
      <c r="A26" s="449" t="s">
        <v>448</v>
      </c>
      <c r="B26" s="18" t="s">
        <v>449</v>
      </c>
      <c r="C26" s="450">
        <v>6000</v>
      </c>
      <c r="D26" s="450">
        <v>6000</v>
      </c>
      <c r="E26" s="450">
        <v>6000</v>
      </c>
      <c r="F26" s="455">
        <f t="shared" si="1"/>
        <v>100</v>
      </c>
      <c r="G26" s="140" t="s">
        <v>424</v>
      </c>
    </row>
    <row r="27" spans="1:7" x14ac:dyDescent="0.3">
      <c r="A27" s="446" t="s">
        <v>452</v>
      </c>
      <c r="B27" s="447" t="s">
        <v>974</v>
      </c>
      <c r="C27" s="448">
        <v>6000</v>
      </c>
      <c r="D27" s="448">
        <v>6000</v>
      </c>
      <c r="E27" s="448">
        <v>6000</v>
      </c>
      <c r="F27" s="452">
        <f t="shared" si="1"/>
        <v>100</v>
      </c>
      <c r="G27" s="141">
        <v>540</v>
      </c>
    </row>
    <row r="28" spans="1:7" x14ac:dyDescent="0.3">
      <c r="A28" s="449" t="s">
        <v>456</v>
      </c>
      <c r="B28" s="18" t="s">
        <v>975</v>
      </c>
      <c r="C28" s="450">
        <v>6000</v>
      </c>
      <c r="D28" s="450">
        <v>6000</v>
      </c>
      <c r="E28" s="450">
        <v>6000</v>
      </c>
      <c r="F28" s="455">
        <f t="shared" si="1"/>
        <v>100</v>
      </c>
      <c r="G28" s="141">
        <v>551</v>
      </c>
    </row>
    <row r="29" spans="1:7" x14ac:dyDescent="0.3">
      <c r="A29" s="446" t="s">
        <v>532</v>
      </c>
      <c r="B29" s="447" t="s">
        <v>533</v>
      </c>
      <c r="C29" s="448">
        <v>58287.707999999999</v>
      </c>
      <c r="D29" s="448">
        <v>76987.354999999996</v>
      </c>
      <c r="E29" s="448">
        <v>80200.346000000005</v>
      </c>
      <c r="F29" s="452">
        <f t="shared" si="1"/>
        <v>104.17340094357056</v>
      </c>
      <c r="G29" s="140" t="s">
        <v>523</v>
      </c>
    </row>
    <row r="30" spans="1:7" x14ac:dyDescent="0.3">
      <c r="A30" s="449" t="s">
        <v>534</v>
      </c>
      <c r="B30" s="18" t="s">
        <v>976</v>
      </c>
      <c r="C30" s="450">
        <v>58287.707999999999</v>
      </c>
      <c r="D30" s="450">
        <v>76987.354999999996</v>
      </c>
      <c r="E30" s="450">
        <v>80200.346000000005</v>
      </c>
      <c r="F30" s="455">
        <f t="shared" si="1"/>
        <v>104.17340094357056</v>
      </c>
      <c r="G30" s="140" t="s">
        <v>527</v>
      </c>
    </row>
    <row r="31" spans="1:7" x14ac:dyDescent="0.3">
      <c r="A31" s="446" t="s">
        <v>537</v>
      </c>
      <c r="B31" s="447" t="s">
        <v>947</v>
      </c>
      <c r="C31" s="448">
        <v>58287.707999999999</v>
      </c>
      <c r="D31" s="448">
        <v>76987.354999999996</v>
      </c>
      <c r="E31" s="448">
        <v>80200.346000000005</v>
      </c>
      <c r="F31" s="452">
        <f t="shared" si="1"/>
        <v>104.17340094357056</v>
      </c>
      <c r="G31" s="140" t="s">
        <v>970</v>
      </c>
    </row>
    <row r="32" spans="1:7" x14ac:dyDescent="0.3">
      <c r="A32" s="449"/>
      <c r="B32" s="18"/>
      <c r="C32" s="450"/>
      <c r="D32" s="450"/>
      <c r="E32" s="450"/>
      <c r="F32" s="455" t="str">
        <f t="shared" si="1"/>
        <v>-</v>
      </c>
    </row>
    <row r="33" spans="1:6" x14ac:dyDescent="0.3">
      <c r="A33" s="446"/>
      <c r="B33" s="447"/>
      <c r="C33" s="448"/>
      <c r="D33" s="448"/>
      <c r="E33" s="448"/>
      <c r="F33" s="452" t="str">
        <f t="shared" si="1"/>
        <v>-</v>
      </c>
    </row>
    <row r="34" spans="1:6" x14ac:dyDescent="0.3">
      <c r="A34" s="449"/>
      <c r="B34" s="18"/>
      <c r="C34" s="450"/>
      <c r="D34" s="450"/>
      <c r="E34" s="450"/>
      <c r="F34" s="455" t="str">
        <f t="shared" ref="F34:F35" si="2">IF(D34&gt;0,E34*100/D34,"-")</f>
        <v>-</v>
      </c>
    </row>
    <row r="35" spans="1:6" x14ac:dyDescent="0.3">
      <c r="A35" s="446"/>
      <c r="B35" s="447"/>
      <c r="C35" s="448"/>
      <c r="D35" s="448"/>
      <c r="E35" s="448"/>
      <c r="F35" s="452" t="str">
        <f t="shared" si="2"/>
        <v>-</v>
      </c>
    </row>
  </sheetData>
  <mergeCells count="1">
    <mergeCell ref="A2:B2"/>
  </mergeCells>
  <pageMargins left="0.7" right="0.7" top="0.75" bottom="0.75" header="0.3" footer="0.3"/>
  <pageSetup paperSize="9" scale="79" orientation="landscape" verticalDpi="0" r:id="rId1"/>
  <ignoredErrors>
    <ignoredError sqref="F16:F17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5"/>
      <c r="C1" s="35"/>
      <c r="D1" s="35"/>
    </row>
    <row r="2" spans="1:5" x14ac:dyDescent="0.3">
      <c r="A2" s="313"/>
    </row>
    <row r="3" spans="1:5" x14ac:dyDescent="0.3">
      <c r="A3" s="142" t="s">
        <v>612</v>
      </c>
      <c r="B3" s="142"/>
      <c r="C3" s="142"/>
      <c r="D3" s="142"/>
      <c r="E3" s="324" t="s">
        <v>695</v>
      </c>
    </row>
    <row r="4" spans="1:5" ht="20.399999999999999" customHeight="1" x14ac:dyDescent="0.3">
      <c r="A4" s="252" t="s">
        <v>10</v>
      </c>
      <c r="B4" s="314" t="s">
        <v>952</v>
      </c>
      <c r="C4" s="315" t="s">
        <v>958</v>
      </c>
      <c r="D4" s="315" t="s">
        <v>961</v>
      </c>
      <c r="E4" s="236" t="str">
        <f>IF(LEN(D4)&gt;5,"Индекс " &amp; MID(D4,1,2) &amp; "-" &amp; MID(D4,4,5) &amp; "/" &amp; C4,"Индекс " &amp; D4 &amp; "/" &amp; C4)</f>
        <v>Индекс 2025./2024.</v>
      </c>
    </row>
    <row r="5" spans="1:5" ht="14.1" customHeight="1" x14ac:dyDescent="0.3">
      <c r="A5" s="316" t="s">
        <v>69</v>
      </c>
      <c r="B5" s="317">
        <f>SUM(B6:B8)</f>
        <v>5668.1660000000002</v>
      </c>
      <c r="C5" s="318">
        <f>SUM(C6:C8)</f>
        <v>6563.3619999999992</v>
      </c>
      <c r="D5" s="318">
        <f>SUM(D6:D8)</f>
        <v>7286.1840000000002</v>
      </c>
      <c r="E5" s="803">
        <f>IF(C5&gt;0,D5*100/C5,"-")</f>
        <v>111.01298389453456</v>
      </c>
    </row>
    <row r="6" spans="1:5" ht="14.1" customHeight="1" x14ac:dyDescent="0.3">
      <c r="A6" s="319" t="s">
        <v>756</v>
      </c>
      <c r="B6" s="242">
        <v>5088.4570000000003</v>
      </c>
      <c r="C6" s="320">
        <v>5921.3059999999996</v>
      </c>
      <c r="D6" s="320">
        <v>6567.8339999999998</v>
      </c>
      <c r="E6" s="804">
        <f t="shared" ref="E6:E8" si="0">IF(C6&gt;0,D6*100/C6,"-")</f>
        <v>110.91867233343456</v>
      </c>
    </row>
    <row r="7" spans="1:5" ht="14.1" customHeight="1" x14ac:dyDescent="0.3">
      <c r="A7" s="319" t="s">
        <v>757</v>
      </c>
      <c r="B7" s="242">
        <v>31.38</v>
      </c>
      <c r="C7" s="320">
        <v>7.7229999999999999</v>
      </c>
      <c r="D7" s="320">
        <v>13.388999999999999</v>
      </c>
      <c r="E7" s="804">
        <f t="shared" si="0"/>
        <v>173.3652725624757</v>
      </c>
    </row>
    <row r="8" spans="1:5" ht="14.1" customHeight="1" thickBot="1" x14ac:dyDescent="0.35">
      <c r="A8" s="321" t="s">
        <v>758</v>
      </c>
      <c r="B8" s="322">
        <v>548.32899999999995</v>
      </c>
      <c r="C8" s="323">
        <v>634.33299999999997</v>
      </c>
      <c r="D8" s="323">
        <v>704.96100000000001</v>
      </c>
      <c r="E8" s="805">
        <f t="shared" si="0"/>
        <v>111.13421499433264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O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9.21875" customWidth="1"/>
    <col min="8" max="14" width="5.77734375" customWidth="1"/>
    <col min="15" max="15" width="0" style="19" hidden="1" customWidth="1"/>
  </cols>
  <sheetData>
    <row r="1" spans="2:15" x14ac:dyDescent="0.3">
      <c r="B1" s="24"/>
      <c r="C1" s="24"/>
    </row>
    <row r="2" spans="2:15" ht="15" customHeight="1" x14ac:dyDescent="0.3">
      <c r="B2" s="877" t="s">
        <v>613</v>
      </c>
      <c r="C2" s="938"/>
      <c r="D2" s="142"/>
      <c r="E2" s="245"/>
      <c r="F2" s="324" t="s">
        <v>695</v>
      </c>
    </row>
    <row r="3" spans="2:15" ht="22.2" customHeight="1" x14ac:dyDescent="0.3">
      <c r="B3" s="252" t="s">
        <v>10</v>
      </c>
      <c r="C3" s="325" t="s">
        <v>952</v>
      </c>
      <c r="D3" s="326" t="s">
        <v>958</v>
      </c>
      <c r="E3" s="326" t="s">
        <v>961</v>
      </c>
      <c r="F3" s="342" t="str">
        <f>IF(LEN(E3)&gt;5,"Индекс " &amp; MID(E3,1,2) &amp; "-" &amp; MID(E3,4,5) &amp; "/" &amp; D3,"Индекс " &amp; E3 &amp; "/" &amp; D3)</f>
        <v>Индекс 2025./2024.</v>
      </c>
    </row>
    <row r="4" spans="2:15" ht="14.1" customHeight="1" x14ac:dyDescent="0.3">
      <c r="B4" s="327" t="s">
        <v>69</v>
      </c>
      <c r="C4" s="328">
        <f>'Tab 27'!B5</f>
        <v>5668.1660000000002</v>
      </c>
      <c r="D4" s="329">
        <f>'Tab 27'!C5</f>
        <v>6563.3619999999992</v>
      </c>
      <c r="E4" s="329">
        <f>'Tab 27'!D5</f>
        <v>7286.1840000000002</v>
      </c>
      <c r="F4" s="330">
        <f>IF(D4&gt;0,E4*100/D4,"-")</f>
        <v>111.01298389453456</v>
      </c>
      <c r="O4" s="659" t="s">
        <v>3</v>
      </c>
    </row>
    <row r="5" spans="2:15" ht="14.1" customHeight="1" x14ac:dyDescent="0.3">
      <c r="B5" s="319" t="s">
        <v>70</v>
      </c>
      <c r="C5" s="242">
        <v>1188.3019999999999</v>
      </c>
      <c r="D5" s="320">
        <v>1386.8430000000001</v>
      </c>
      <c r="E5" s="320">
        <v>1514.645</v>
      </c>
      <c r="F5" s="240">
        <f t="shared" ref="F5:F13" si="0">IF(D5&gt;0,E5*100/D5,"-")</f>
        <v>109.21531853281157</v>
      </c>
      <c r="O5" s="3"/>
    </row>
    <row r="6" spans="2:15" ht="14.1" customHeight="1" x14ac:dyDescent="0.3">
      <c r="B6" s="319" t="s">
        <v>71</v>
      </c>
      <c r="C6" s="242">
        <f>C5-ROUND(0.12*C$4,0)</f>
        <v>508.30199999999991</v>
      </c>
      <c r="D6" s="320">
        <f>D5-ROUND(0.12*D$4,0)</f>
        <v>598.84300000000007</v>
      </c>
      <c r="E6" s="320">
        <f>E5-ROUND(0.12*E$4,0)</f>
        <v>640.64499999999998</v>
      </c>
      <c r="F6" s="240">
        <f t="shared" si="0"/>
        <v>106.98046065496297</v>
      </c>
      <c r="O6" s="3"/>
    </row>
    <row r="7" spans="2:15" ht="14.1" customHeight="1" x14ac:dyDescent="0.3">
      <c r="B7" s="331" t="s">
        <v>76</v>
      </c>
      <c r="C7" s="332">
        <f>IF(C$4&lt;&gt;0,ROUND(C5/C$4,4),0)</f>
        <v>0.20960000000000001</v>
      </c>
      <c r="D7" s="333">
        <f>IF(D$4&lt;&gt;0,ROUND(D5/D$4,4),0)</f>
        <v>0.21129999999999999</v>
      </c>
      <c r="E7" s="333">
        <f>IF(E$4&lt;&gt;0,ROUND(E5/E$4,4),0)</f>
        <v>0.2079</v>
      </c>
      <c r="F7" s="334">
        <f t="shared" si="0"/>
        <v>98.390913393279703</v>
      </c>
      <c r="O7" s="658">
        <f>ROUND(E7,3)</f>
        <v>0.20799999999999999</v>
      </c>
    </row>
    <row r="8" spans="2:15" ht="14.1" customHeight="1" x14ac:dyDescent="0.3">
      <c r="B8" s="319" t="s">
        <v>72</v>
      </c>
      <c r="C8" s="242">
        <v>1130.0150000000001</v>
      </c>
      <c r="D8" s="320">
        <v>1309.855</v>
      </c>
      <c r="E8" s="320">
        <v>1434.4449999999999</v>
      </c>
      <c r="F8" s="240">
        <f t="shared" si="0"/>
        <v>109.51173984906727</v>
      </c>
      <c r="O8" s="3"/>
    </row>
    <row r="9" spans="2:15" ht="14.1" customHeight="1" x14ac:dyDescent="0.3">
      <c r="B9" s="319" t="s">
        <v>73</v>
      </c>
      <c r="C9" s="242">
        <f>C8-ROUND(0.09*C$4,0)</f>
        <v>620.0150000000001</v>
      </c>
      <c r="D9" s="320">
        <f>D8-ROUND(0.09*D$4,0)</f>
        <v>718.85500000000002</v>
      </c>
      <c r="E9" s="320">
        <f>E8-ROUND(0.09*E$4,0)</f>
        <v>778.44499999999994</v>
      </c>
      <c r="F9" s="240">
        <f t="shared" si="0"/>
        <v>108.28957161040822</v>
      </c>
      <c r="O9" s="3"/>
    </row>
    <row r="10" spans="2:15" ht="14.1" customHeight="1" x14ac:dyDescent="0.3">
      <c r="B10" s="331" t="s">
        <v>77</v>
      </c>
      <c r="C10" s="332">
        <f>IF(C$4&lt;&gt;0,ROUND(C8/C$4,4),0)</f>
        <v>0.19939999999999999</v>
      </c>
      <c r="D10" s="333">
        <f>IF(D$4&lt;&gt;0,ROUND(D8/D$4,4),0)</f>
        <v>0.1996</v>
      </c>
      <c r="E10" s="333">
        <f>IF(E$4&lt;&gt;0,ROUND(E8/E$4,4),0)</f>
        <v>0.19689999999999999</v>
      </c>
      <c r="F10" s="334">
        <f t="shared" si="0"/>
        <v>98.647294589178344</v>
      </c>
      <c r="O10" s="658">
        <f>ROUND(E10,3)</f>
        <v>0.19700000000000001</v>
      </c>
    </row>
    <row r="11" spans="2:15" ht="14.1" customHeight="1" x14ac:dyDescent="0.3">
      <c r="B11" s="319" t="s">
        <v>74</v>
      </c>
      <c r="C11" s="242">
        <v>1124.0150000000001</v>
      </c>
      <c r="D11" s="320">
        <v>1303.855</v>
      </c>
      <c r="E11" s="320">
        <v>1428.4449999999999</v>
      </c>
      <c r="F11" s="240">
        <f t="shared" si="0"/>
        <v>109.55551039034248</v>
      </c>
      <c r="O11" s="3"/>
    </row>
    <row r="12" spans="2:15" ht="14.1" customHeight="1" x14ac:dyDescent="0.3">
      <c r="B12" s="319" t="s">
        <v>75</v>
      </c>
      <c r="C12" s="242">
        <f>C11-ROUND(0.0675*C$4,0)</f>
        <v>741.0150000000001</v>
      </c>
      <c r="D12" s="320">
        <f>D11-ROUND(0.0675*D$4,0)</f>
        <v>860.85500000000002</v>
      </c>
      <c r="E12" s="320">
        <f>E11-ROUND(0.0675*E$4,0)</f>
        <v>936.44499999999994</v>
      </c>
      <c r="F12" s="240">
        <f t="shared" si="0"/>
        <v>108.78080512978376</v>
      </c>
      <c r="O12" s="660"/>
    </row>
    <row r="13" spans="2:15" ht="14.1" customHeight="1" thickBot="1" x14ac:dyDescent="0.35">
      <c r="B13" s="335" t="s">
        <v>78</v>
      </c>
      <c r="C13" s="336">
        <f>IF(C$4&lt;&gt;0,ROUND(C11/C$4,4),0)</f>
        <v>0.1983</v>
      </c>
      <c r="D13" s="337">
        <f>IF(D$4&lt;&gt;0,ROUND(D11/D$4,4),0)</f>
        <v>0.19869999999999999</v>
      </c>
      <c r="E13" s="337">
        <f>IF(E$4&lt;&gt;0,ROUND(E11/E$4,4),0)</f>
        <v>0.19600000000000001</v>
      </c>
      <c r="F13" s="338">
        <f t="shared" si="0"/>
        <v>98.641167589330664</v>
      </c>
      <c r="O13" s="657">
        <f>ROUND(E13,3)</f>
        <v>0.19600000000000001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N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77734375" customWidth="1"/>
    <col min="7" max="7" width="0" style="631" hidden="1" customWidth="1"/>
    <col min="8" max="12" width="0" hidden="1" customWidth="1"/>
    <col min="13" max="14" width="5.77734375" customWidth="1"/>
  </cols>
  <sheetData>
    <row r="1" spans="1:14" hidden="1" x14ac:dyDescent="0.3"/>
    <row r="3" spans="1:14" x14ac:dyDescent="0.3">
      <c r="A3" s="142" t="s">
        <v>614</v>
      </c>
      <c r="B3" s="142"/>
      <c r="C3" s="142"/>
      <c r="D3" s="142"/>
      <c r="E3" s="324" t="s">
        <v>695</v>
      </c>
    </row>
    <row r="4" spans="1:14" ht="24" x14ac:dyDescent="0.3">
      <c r="A4" s="157" t="s">
        <v>10</v>
      </c>
      <c r="B4" s="246" t="s">
        <v>952</v>
      </c>
      <c r="C4" s="247" t="s">
        <v>958</v>
      </c>
      <c r="D4" s="247" t="s">
        <v>961</v>
      </c>
      <c r="E4" s="342" t="str">
        <f>IF(LEN(D4)&gt;5,"Индекс " &amp; MID(D4,1,2) &amp; "-" &amp; MID(D4,4,5) &amp; "/" &amp; C4,"Индекс " &amp; D4 &amp; "/" &amp; C4)</f>
        <v>Индекс 2025./2024.</v>
      </c>
    </row>
    <row r="5" spans="1:14" ht="14.1" customHeight="1" x14ac:dyDescent="0.3">
      <c r="A5" s="147" t="s">
        <v>80</v>
      </c>
      <c r="B5" s="188">
        <f>SUM(B6:B9)</f>
        <v>474.58100000000007</v>
      </c>
      <c r="C5" s="206">
        <f t="shared" ref="C5:D5" si="0">SUM(C6:C9)</f>
        <v>537.66</v>
      </c>
      <c r="D5" s="206">
        <f t="shared" si="0"/>
        <v>616.37599999999998</v>
      </c>
      <c r="E5" s="144">
        <f>IF(C5&lt;&gt;0,D5/C5*100,"-")</f>
        <v>114.64047911319422</v>
      </c>
    </row>
    <row r="6" spans="1:14" ht="14.1" customHeight="1" x14ac:dyDescent="0.3">
      <c r="A6" s="10" t="s">
        <v>81</v>
      </c>
      <c r="B6" s="194">
        <v>13.288</v>
      </c>
      <c r="C6" s="163">
        <v>16.266999999999999</v>
      </c>
      <c r="D6" s="163">
        <v>24.132000000000001</v>
      </c>
      <c r="E6" s="144">
        <f>IF(C6&lt;&gt;0,D6/C6*100,"-")</f>
        <v>148.3494190692814</v>
      </c>
      <c r="G6" s="631">
        <v>150</v>
      </c>
    </row>
    <row r="7" spans="1:14" ht="14.1" customHeight="1" x14ac:dyDescent="0.3">
      <c r="A7" s="10" t="s">
        <v>83</v>
      </c>
      <c r="B7" s="194">
        <v>151.59200000000001</v>
      </c>
      <c r="C7" s="163">
        <v>172.36699999999999</v>
      </c>
      <c r="D7" s="163">
        <v>173.87899999999999</v>
      </c>
      <c r="E7" s="144">
        <f t="shared" ref="E7:E14" si="1">IF(C7&lt;&gt;0,D7/C7*100,"-")</f>
        <v>100.87719807155662</v>
      </c>
      <c r="G7" s="631">
        <v>160</v>
      </c>
    </row>
    <row r="8" spans="1:14" ht="14.1" customHeight="1" x14ac:dyDescent="0.3">
      <c r="A8" s="10" t="s">
        <v>84</v>
      </c>
      <c r="B8" s="194">
        <v>308.55500000000001</v>
      </c>
      <c r="C8" s="163">
        <v>348.79300000000001</v>
      </c>
      <c r="D8" s="163">
        <v>418.30200000000002</v>
      </c>
      <c r="E8" s="144">
        <f t="shared" si="1"/>
        <v>119.92843893082717</v>
      </c>
      <c r="G8" s="631">
        <v>170</v>
      </c>
    </row>
    <row r="9" spans="1:14" ht="14.1" customHeight="1" x14ac:dyDescent="0.3">
      <c r="A9" s="10" t="s">
        <v>85</v>
      </c>
      <c r="B9" s="194">
        <v>1.1459999999999999</v>
      </c>
      <c r="C9" s="163">
        <v>0.23300000000000001</v>
      </c>
      <c r="D9" s="163">
        <v>6.3E-2</v>
      </c>
      <c r="E9" s="144">
        <f t="shared" si="1"/>
        <v>27.038626609442058</v>
      </c>
      <c r="G9" s="631">
        <v>180</v>
      </c>
    </row>
    <row r="10" spans="1:14" ht="14.1" customHeight="1" x14ac:dyDescent="0.3">
      <c r="A10" s="10" t="s">
        <v>82</v>
      </c>
      <c r="B10" s="188">
        <v>10030.576999999999</v>
      </c>
      <c r="C10" s="206">
        <v>10855.821</v>
      </c>
      <c r="D10" s="206">
        <v>12066.942999999999</v>
      </c>
      <c r="E10" s="144">
        <f t="shared" si="1"/>
        <v>111.15642934790469</v>
      </c>
      <c r="G10" s="631" t="s">
        <v>218</v>
      </c>
      <c r="H10" s="632" t="s">
        <v>225</v>
      </c>
      <c r="I10" s="631" t="s">
        <v>242</v>
      </c>
      <c r="J10" s="631" t="s">
        <v>254</v>
      </c>
      <c r="K10" s="631" t="s">
        <v>262</v>
      </c>
      <c r="L10" s="631" t="s">
        <v>295</v>
      </c>
      <c r="M10" s="631"/>
      <c r="N10" s="631"/>
    </row>
    <row r="11" spans="1:14" ht="14.1" customHeight="1" x14ac:dyDescent="0.3">
      <c r="A11" s="10" t="s">
        <v>86</v>
      </c>
      <c r="B11" s="194">
        <v>-42.938000000000002</v>
      </c>
      <c r="C11" s="163">
        <v>-19.939</v>
      </c>
      <c r="D11" s="163">
        <v>-21.846</v>
      </c>
      <c r="E11" s="144">
        <f t="shared" si="1"/>
        <v>109.56417072069813</v>
      </c>
      <c r="G11" s="631" t="s">
        <v>325</v>
      </c>
      <c r="H11" s="632">
        <v>235</v>
      </c>
      <c r="I11" s="632" t="s">
        <v>946</v>
      </c>
    </row>
    <row r="12" spans="1:14" ht="14.1" customHeight="1" x14ac:dyDescent="0.3">
      <c r="A12" s="10" t="s">
        <v>87</v>
      </c>
      <c r="B12" s="188">
        <v>10462.218999999999</v>
      </c>
      <c r="C12" s="206">
        <v>11373.540999999999</v>
      </c>
      <c r="D12" s="206">
        <v>12661.474</v>
      </c>
      <c r="E12" s="189">
        <f t="shared" si="1"/>
        <v>111.32394036298811</v>
      </c>
      <c r="G12" s="631" t="s">
        <v>336</v>
      </c>
    </row>
    <row r="13" spans="1:14" ht="14.1" customHeight="1" x14ac:dyDescent="0.3">
      <c r="A13" s="10" t="s">
        <v>88</v>
      </c>
      <c r="B13" s="194">
        <v>1130.0150000000001</v>
      </c>
      <c r="C13" s="163">
        <v>1309.855</v>
      </c>
      <c r="D13" s="163">
        <v>1434.4449999999999</v>
      </c>
      <c r="E13" s="144">
        <f t="shared" si="1"/>
        <v>109.51173984906725</v>
      </c>
      <c r="G13" s="631" t="s">
        <v>344</v>
      </c>
    </row>
    <row r="14" spans="1:14" ht="14.1" customHeight="1" thickBot="1" x14ac:dyDescent="0.35">
      <c r="A14" s="174" t="s">
        <v>89</v>
      </c>
      <c r="B14" s="339">
        <f>IF(B12&lt;&gt;0,B13/B12,0)</f>
        <v>0.10800911355420874</v>
      </c>
      <c r="C14" s="340">
        <f t="shared" ref="C14:D14" si="2">IF(C12&lt;&gt;0,C13/C12,0)</f>
        <v>0.11516685964379959</v>
      </c>
      <c r="D14" s="340">
        <f t="shared" si="2"/>
        <v>0.11329210169368906</v>
      </c>
      <c r="E14" s="633">
        <f t="shared" si="1"/>
        <v>98.372137648010039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D5" formulaRange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F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  <col min="8" max="12" width="5.77734375" customWidth="1"/>
  </cols>
  <sheetData>
    <row r="1" spans="1:6" x14ac:dyDescent="0.3">
      <c r="A1" s="181"/>
    </row>
    <row r="2" spans="1:6" x14ac:dyDescent="0.3">
      <c r="A2" s="211" t="s">
        <v>768</v>
      </c>
      <c r="B2" s="211"/>
      <c r="C2" s="211"/>
      <c r="D2" s="211"/>
      <c r="E2" s="145"/>
      <c r="F2" s="145" t="s">
        <v>695</v>
      </c>
    </row>
    <row r="3" spans="1:6" x14ac:dyDescent="0.3">
      <c r="A3" s="166" t="s">
        <v>10</v>
      </c>
      <c r="B3" s="349" t="s">
        <v>958</v>
      </c>
      <c r="C3" s="349" t="s">
        <v>977</v>
      </c>
      <c r="D3" s="349" t="s">
        <v>959</v>
      </c>
      <c r="E3" s="349" t="s">
        <v>978</v>
      </c>
      <c r="F3" s="349" t="s">
        <v>961</v>
      </c>
    </row>
    <row r="4" spans="1:6" x14ac:dyDescent="0.3">
      <c r="A4" s="147" t="s">
        <v>90</v>
      </c>
      <c r="B4" s="163">
        <v>2342.0349999999999</v>
      </c>
      <c r="C4" s="163">
        <v>2348.7719999999999</v>
      </c>
      <c r="D4" s="163">
        <v>2412.7170000000001</v>
      </c>
      <c r="E4" s="163">
        <v>2553.8440000000001</v>
      </c>
      <c r="F4" s="163">
        <v>2883.82</v>
      </c>
    </row>
    <row r="5" spans="1:6" x14ac:dyDescent="0.3">
      <c r="A5" s="10" t="s">
        <v>108</v>
      </c>
      <c r="B5" s="163">
        <v>1106.8610000000001</v>
      </c>
      <c r="C5" s="163">
        <v>846.95100000000002</v>
      </c>
      <c r="D5" s="163">
        <v>938.31700000000001</v>
      </c>
      <c r="E5" s="163">
        <v>1132.277</v>
      </c>
      <c r="F5" s="163">
        <v>1206.441</v>
      </c>
    </row>
    <row r="6" spans="1:6" ht="15" thickBot="1" x14ac:dyDescent="0.35">
      <c r="A6" s="170" t="s">
        <v>91</v>
      </c>
      <c r="B6" s="683">
        <f>IF(B5&lt;&gt;0,B4*100/B5,"-")</f>
        <v>211.59251251963886</v>
      </c>
      <c r="C6" s="683">
        <f>IF(C5&lt;&gt;0,C4*100/C5,"-")</f>
        <v>277.32088397085545</v>
      </c>
      <c r="D6" s="683">
        <f t="shared" ref="D6:E6" si="0">IF(D5&lt;&gt;0,D4*100/D5,"-")</f>
        <v>257.13239768649618</v>
      </c>
      <c r="E6" s="683">
        <f t="shared" si="0"/>
        <v>225.54940178065968</v>
      </c>
      <c r="F6" s="683">
        <f t="shared" ref="F6" si="1">IF(F5&lt;&gt;0,F4*100/F5,"-")</f>
        <v>239.03531129993095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F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8" max="12" width="5.77734375" customWidth="1"/>
  </cols>
  <sheetData>
    <row r="1" spans="1:6" x14ac:dyDescent="0.3">
      <c r="A1" s="181"/>
    </row>
    <row r="2" spans="1:6" x14ac:dyDescent="0.3">
      <c r="A2" s="211" t="s">
        <v>917</v>
      </c>
      <c r="B2" s="211"/>
      <c r="C2" s="211"/>
      <c r="D2" s="211"/>
      <c r="E2" s="145"/>
      <c r="F2" s="145" t="s">
        <v>695</v>
      </c>
    </row>
    <row r="3" spans="1:6" x14ac:dyDescent="0.3">
      <c r="A3" s="166" t="s">
        <v>10</v>
      </c>
      <c r="B3" s="620" t="s">
        <v>958</v>
      </c>
      <c r="C3" s="620" t="s">
        <v>977</v>
      </c>
      <c r="D3" s="620" t="s">
        <v>959</v>
      </c>
      <c r="E3" s="620" t="s">
        <v>978</v>
      </c>
      <c r="F3" s="620" t="s">
        <v>961</v>
      </c>
    </row>
    <row r="4" spans="1:6" x14ac:dyDescent="0.3">
      <c r="A4" s="147" t="s">
        <v>918</v>
      </c>
      <c r="B4" s="7">
        <v>8478.9459999999999</v>
      </c>
      <c r="C4" s="7">
        <v>8647.616</v>
      </c>
      <c r="D4" s="7">
        <v>8644.5040000000008</v>
      </c>
      <c r="E4" s="7">
        <v>8950.0490000000009</v>
      </c>
      <c r="F4" s="7">
        <v>9474.4249999999993</v>
      </c>
    </row>
    <row r="5" spans="1:6" x14ac:dyDescent="0.3">
      <c r="A5" s="10" t="s">
        <v>919</v>
      </c>
      <c r="B5" s="7">
        <v>5264.6490000000003</v>
      </c>
      <c r="C5" s="7">
        <v>5268.7340000000004</v>
      </c>
      <c r="D5" s="7">
        <v>5411.6329999999998</v>
      </c>
      <c r="E5" s="7">
        <v>5564.7520000000004</v>
      </c>
      <c r="F5" s="7">
        <v>5769.9979999999996</v>
      </c>
    </row>
    <row r="6" spans="1:6" ht="24.6" thickBot="1" x14ac:dyDescent="0.35">
      <c r="A6" s="170" t="s">
        <v>920</v>
      </c>
      <c r="B6" s="619">
        <f>IF(B5&lt;&gt;0,B4*100/B5,"-")</f>
        <v>161.05434569332161</v>
      </c>
      <c r="C6" s="619">
        <f>IF(C5&lt;&gt;0,C4*100/C5,"-")</f>
        <v>164.13081396783363</v>
      </c>
      <c r="D6" s="619">
        <f t="shared" ref="D6:F6" si="0">IF(D5&lt;&gt;0,D4*100/D5,"-")</f>
        <v>159.73928756809639</v>
      </c>
      <c r="E6" s="619">
        <f t="shared" si="0"/>
        <v>160.83464276575131</v>
      </c>
      <c r="F6" s="619">
        <f t="shared" si="0"/>
        <v>164.2015300525234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7" customWidth="1"/>
    <col min="2" max="2" width="8.5546875" style="27" customWidth="1"/>
    <col min="3" max="3" width="8" style="27" bestFit="1" customWidth="1"/>
    <col min="4" max="4" width="8.5546875" style="27" bestFit="1" customWidth="1"/>
    <col min="5" max="5" width="8" style="27" bestFit="1" customWidth="1"/>
    <col min="6" max="6" width="8.5546875" style="27" bestFit="1" customWidth="1"/>
    <col min="7" max="7" width="8" style="27" bestFit="1" customWidth="1"/>
    <col min="8" max="8" width="9.44140625" style="27" customWidth="1"/>
    <col min="9" max="9" width="9.109375" style="27" customWidth="1"/>
    <col min="10" max="10" width="10.5546875" style="27" customWidth="1"/>
    <col min="11" max="14" width="5.77734375" style="27" customWidth="1"/>
    <col min="15" max="16" width="8.88671875" style="27" bestFit="1" customWidth="1"/>
    <col min="17" max="16384" width="8.5546875" style="27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142" t="s">
        <v>727</v>
      </c>
      <c r="B3" s="142"/>
      <c r="C3" s="142"/>
      <c r="D3" s="142"/>
      <c r="E3" s="142"/>
      <c r="F3" s="142"/>
      <c r="G3" s="142"/>
      <c r="H3" s="142"/>
      <c r="I3" s="324" t="s">
        <v>695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941" t="s">
        <v>204</v>
      </c>
      <c r="B4" s="943" t="s">
        <v>952</v>
      </c>
      <c r="C4" s="944"/>
      <c r="D4" s="945" t="s">
        <v>958</v>
      </c>
      <c r="E4" s="944"/>
      <c r="F4" s="945" t="s">
        <v>961</v>
      </c>
      <c r="G4" s="944"/>
      <c r="H4" s="946" t="str">
        <f>IF(LEN(D4)&gt;5,"Индекс " &amp; MID(D4,1,2) &amp; "-" &amp; MID(D4,4,5) &amp; "/" &amp; B4,"Индекс " &amp; D4 &amp; "/" &amp; B4)</f>
        <v>Индекс 2024./2023.</v>
      </c>
      <c r="I4" s="939" t="str">
        <f>IF(LEN(F4)&gt;5,"Индекс " &amp; MID(F4,1,2) &amp; "-" &amp; MID(F4,4,5) &amp; "/" &amp; D4,"Индекс " &amp; F4 &amp; "/" &amp; D4)</f>
        <v>Индекс 2025./2024.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264" customFormat="1" ht="14.1" customHeight="1" x14ac:dyDescent="0.3">
      <c r="A5" s="942"/>
      <c r="B5" s="261" t="s">
        <v>2</v>
      </c>
      <c r="C5" s="262" t="s">
        <v>728</v>
      </c>
      <c r="D5" s="263" t="s">
        <v>2</v>
      </c>
      <c r="E5" s="262" t="s">
        <v>3</v>
      </c>
      <c r="F5" s="263" t="s">
        <v>2</v>
      </c>
      <c r="G5" s="262" t="s">
        <v>3</v>
      </c>
      <c r="H5" s="947"/>
      <c r="I5" s="940"/>
      <c r="O5" s="27"/>
      <c r="P5" s="27"/>
      <c r="Q5" s="27"/>
      <c r="R5" s="27"/>
      <c r="S5" s="27"/>
      <c r="T5" s="27"/>
      <c r="U5" s="27"/>
      <c r="V5" s="27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264" customFormat="1" ht="14.1" customHeight="1" x14ac:dyDescent="0.3">
      <c r="A6" s="265" t="s">
        <v>729</v>
      </c>
      <c r="B6" s="266">
        <v>4309.9290000000001</v>
      </c>
      <c r="C6" s="267">
        <f t="shared" ref="C6:C15" si="0">IFERROR(B6/B$16*100,0)</f>
        <v>55.683067430463176</v>
      </c>
      <c r="D6" s="268">
        <v>4782.951</v>
      </c>
      <c r="E6" s="267">
        <f t="shared" ref="E6:E15" si="1">IFERROR(D6/D$16*100,0)</f>
        <v>57.252224187307554</v>
      </c>
      <c r="F6" s="268">
        <v>5488.9260000000004</v>
      </c>
      <c r="G6" s="267">
        <f t="shared" ref="G6:G15" si="2">IFERROR(F6/F$16*100,0)</f>
        <v>58.714315650234241</v>
      </c>
      <c r="H6" s="806">
        <f>IFERROR(D6/B6*100,0)</f>
        <v>110.97516919652273</v>
      </c>
      <c r="I6" s="269">
        <f>IFERROR(F6/D6*100,0)</f>
        <v>114.76023902398332</v>
      </c>
      <c r="O6" s="27"/>
      <c r="P6" s="27"/>
      <c r="Q6" s="27"/>
      <c r="R6" s="27"/>
      <c r="S6" s="27"/>
      <c r="T6" s="27"/>
      <c r="U6" s="27"/>
      <c r="V6" s="27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264" customFormat="1" ht="14.1" customHeight="1" x14ac:dyDescent="0.3">
      <c r="A7" s="265" t="s">
        <v>730</v>
      </c>
      <c r="B7" s="266">
        <v>69.734999999999999</v>
      </c>
      <c r="C7" s="267">
        <f t="shared" si="0"/>
        <v>0.90095653716415047</v>
      </c>
      <c r="D7" s="268">
        <v>84.950999999999993</v>
      </c>
      <c r="E7" s="267">
        <f t="shared" si="1"/>
        <v>1.0168688111034303</v>
      </c>
      <c r="F7" s="268">
        <v>76.394999999999996</v>
      </c>
      <c r="G7" s="267">
        <f t="shared" si="2"/>
        <v>0.81718721369164837</v>
      </c>
      <c r="H7" s="806">
        <f t="shared" ref="H7:H16" si="3">IFERROR(D7/B7*100,0)</f>
        <v>121.81974618197462</v>
      </c>
      <c r="I7" s="269">
        <f>IFERROR(F7/D7*100,0)</f>
        <v>89.928311614930962</v>
      </c>
      <c r="O7" s="27"/>
      <c r="P7" s="27"/>
      <c r="Q7" s="27"/>
      <c r="R7" s="27"/>
      <c r="S7" s="27"/>
      <c r="T7" s="27"/>
      <c r="U7" s="27"/>
      <c r="V7" s="2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265" t="s">
        <v>731</v>
      </c>
      <c r="B8" s="266">
        <v>100.529</v>
      </c>
      <c r="C8" s="267">
        <f t="shared" si="0"/>
        <v>1.298806334331037</v>
      </c>
      <c r="D8" s="268">
        <v>149.59200000000001</v>
      </c>
      <c r="E8" s="267">
        <f t="shared" si="1"/>
        <v>1.7906256452612019</v>
      </c>
      <c r="F8" s="268">
        <v>116.258</v>
      </c>
      <c r="G8" s="267">
        <f t="shared" si="2"/>
        <v>1.2435964538171824</v>
      </c>
      <c r="H8" s="806">
        <f t="shared" si="3"/>
        <v>148.80482248903303</v>
      </c>
      <c r="I8" s="269">
        <f>IFERROR(F8/D8*100,0)</f>
        <v>77.716722819402094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265" t="s">
        <v>732</v>
      </c>
      <c r="B9" s="266">
        <v>452.48200000000003</v>
      </c>
      <c r="C9" s="267">
        <f t="shared" si="0"/>
        <v>5.8459398558702107</v>
      </c>
      <c r="D9" s="268">
        <v>450.99799999999999</v>
      </c>
      <c r="E9" s="267">
        <f t="shared" si="1"/>
        <v>5.3984744154868674</v>
      </c>
      <c r="F9" s="268">
        <v>566.53599999999994</v>
      </c>
      <c r="G9" s="267">
        <f t="shared" si="2"/>
        <v>6.0601606819295979</v>
      </c>
      <c r="H9" s="806">
        <f t="shared" si="3"/>
        <v>99.672031152620434</v>
      </c>
      <c r="I9" s="269">
        <f t="shared" ref="I9:I16" si="4">IFERROR(F9/D9*100,0)</f>
        <v>125.6182954248134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265" t="s">
        <v>733</v>
      </c>
      <c r="B10" s="266">
        <v>511.39100000000002</v>
      </c>
      <c r="C10" s="267">
        <f t="shared" si="0"/>
        <v>6.607027525588471</v>
      </c>
      <c r="D10" s="268">
        <v>642.99699999999996</v>
      </c>
      <c r="E10" s="267">
        <f t="shared" si="1"/>
        <v>7.6967145169930005</v>
      </c>
      <c r="F10" s="268">
        <v>603.09699999999998</v>
      </c>
      <c r="G10" s="267">
        <f t="shared" si="2"/>
        <v>6.4512488646611947</v>
      </c>
      <c r="H10" s="806">
        <f t="shared" si="3"/>
        <v>125.73490734095827</v>
      </c>
      <c r="I10" s="269">
        <f t="shared" si="4"/>
        <v>93.79468333444791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265" t="s">
        <v>734</v>
      </c>
      <c r="B11" s="266">
        <v>987.43100000000004</v>
      </c>
      <c r="C11" s="267">
        <f t="shared" si="0"/>
        <v>12.75733009892499</v>
      </c>
      <c r="D11" s="268">
        <v>1033.078</v>
      </c>
      <c r="E11" s="267">
        <f t="shared" si="1"/>
        <v>12.366008612460238</v>
      </c>
      <c r="F11" s="268">
        <v>1155.848</v>
      </c>
      <c r="G11" s="267">
        <f t="shared" si="2"/>
        <v>12.363953224308716</v>
      </c>
      <c r="H11" s="806">
        <f t="shared" si="3"/>
        <v>104.62280402377482</v>
      </c>
      <c r="I11" s="269">
        <f t="shared" si="4"/>
        <v>111.88390421633217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270" t="s">
        <v>735</v>
      </c>
      <c r="B12" s="271">
        <f>SUM(B6:B11)</f>
        <v>6431.4969999999994</v>
      </c>
      <c r="C12" s="272">
        <f t="shared" si="0"/>
        <v>83.093127782342023</v>
      </c>
      <c r="D12" s="273">
        <f>SUM(D6:D11)</f>
        <v>7144.5669999999991</v>
      </c>
      <c r="E12" s="272">
        <f t="shared" si="1"/>
        <v>85.520916188612276</v>
      </c>
      <c r="F12" s="273">
        <f>SUM(F6:F11)</f>
        <v>8007.06</v>
      </c>
      <c r="G12" s="272">
        <f t="shared" si="2"/>
        <v>85.650462088642584</v>
      </c>
      <c r="H12" s="807">
        <f t="shared" si="3"/>
        <v>111.08715435924171</v>
      </c>
      <c r="I12" s="274">
        <f t="shared" si="4"/>
        <v>112.07201220171916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275" t="s">
        <v>916</v>
      </c>
      <c r="B13" s="266">
        <v>1299.1489999999999</v>
      </c>
      <c r="C13" s="267">
        <f t="shared" si="0"/>
        <v>16.784638765329731</v>
      </c>
      <c r="D13" s="268">
        <v>1197.739</v>
      </c>
      <c r="E13" s="267">
        <f t="shared" si="1"/>
        <v>14.337011135150989</v>
      </c>
      <c r="F13" s="268">
        <v>1328.7729999999999</v>
      </c>
      <c r="G13" s="267">
        <f t="shared" si="2"/>
        <v>14.213709084347045</v>
      </c>
      <c r="H13" s="806">
        <f t="shared" si="3"/>
        <v>92.194120920695028</v>
      </c>
      <c r="I13" s="269">
        <f t="shared" si="4"/>
        <v>110.94011299623708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275" t="s">
        <v>736</v>
      </c>
      <c r="B14" s="266">
        <v>9.4610000000000003</v>
      </c>
      <c r="C14" s="267">
        <f t="shared" si="0"/>
        <v>0.12223345232824302</v>
      </c>
      <c r="D14" s="268">
        <v>11.869</v>
      </c>
      <c r="E14" s="267">
        <f t="shared" si="1"/>
        <v>0.14207267623673195</v>
      </c>
      <c r="F14" s="268">
        <v>12.698</v>
      </c>
      <c r="G14" s="267">
        <f t="shared" si="2"/>
        <v>0.13582882701036128</v>
      </c>
      <c r="H14" s="806">
        <f t="shared" si="3"/>
        <v>125.45185498361695</v>
      </c>
      <c r="I14" s="269">
        <f t="shared" si="4"/>
        <v>106.98458168337687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270" t="s">
        <v>737</v>
      </c>
      <c r="B15" s="271">
        <f>SUM(B13:B14)</f>
        <v>1308.6099999999999</v>
      </c>
      <c r="C15" s="272">
        <f t="shared" si="0"/>
        <v>16.906872217657973</v>
      </c>
      <c r="D15" s="273">
        <f>SUM(D13:D14)</f>
        <v>1209.6079999999999</v>
      </c>
      <c r="E15" s="272">
        <f t="shared" si="1"/>
        <v>14.479083811387719</v>
      </c>
      <c r="F15" s="273">
        <f>SUM(F13:F14)</f>
        <v>1341.471</v>
      </c>
      <c r="G15" s="272">
        <f t="shared" si="2"/>
        <v>14.349537911357411</v>
      </c>
      <c r="H15" s="807">
        <f t="shared" si="3"/>
        <v>92.434567976708109</v>
      </c>
      <c r="I15" s="274">
        <f t="shared" si="4"/>
        <v>110.90130025595069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276" t="s">
        <v>738</v>
      </c>
      <c r="B16" s="277">
        <f t="shared" ref="B16:F16" si="5">B12+B15</f>
        <v>7740.1069999999991</v>
      </c>
      <c r="C16" s="278">
        <f t="shared" si="5"/>
        <v>100</v>
      </c>
      <c r="D16" s="279">
        <f t="shared" si="5"/>
        <v>8354.1749999999993</v>
      </c>
      <c r="E16" s="278">
        <f t="shared" ref="E16:G16" si="6">E12+E15</f>
        <v>100</v>
      </c>
      <c r="F16" s="279">
        <f t="shared" si="5"/>
        <v>9348.5310000000009</v>
      </c>
      <c r="G16" s="278">
        <f t="shared" si="6"/>
        <v>100</v>
      </c>
      <c r="H16" s="808">
        <f t="shared" si="3"/>
        <v>107.93358541425849</v>
      </c>
      <c r="I16" s="280">
        <f t="shared" si="4"/>
        <v>111.90250383790143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7" customWidth="1"/>
    <col min="2" max="4" width="12.5546875" style="27" customWidth="1"/>
    <col min="5" max="5" width="10.44140625" style="27" customWidth="1"/>
    <col min="6" max="14" width="5.77734375" style="27" customWidth="1"/>
    <col min="15" max="16384" width="8.5546875" style="27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142" t="s">
        <v>739</v>
      </c>
      <c r="B2" s="142"/>
      <c r="C2" s="142"/>
      <c r="D2" s="145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157" t="s">
        <v>10</v>
      </c>
      <c r="B3" s="246" t="str">
        <f>B12</f>
        <v>2023.</v>
      </c>
      <c r="C3" s="247" t="str">
        <f t="shared" ref="C3:D3" si="0">C12</f>
        <v>2024.</v>
      </c>
      <c r="D3" s="247" t="str">
        <f t="shared" si="0"/>
        <v>2025.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147" t="s">
        <v>740</v>
      </c>
      <c r="B4" s="248">
        <f>IF(B14&lt;&gt;0,B13*100/B14,0)</f>
        <v>25.742088416249636</v>
      </c>
      <c r="C4" s="249">
        <f>IF(C14&lt;&gt;0,C13*100/C14,0)</f>
        <v>25.817073238134014</v>
      </c>
      <c r="D4" s="249">
        <f>IF(D14&lt;&gt;0,D13*100/D14,0)</f>
        <v>24.947921712309736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147" t="s">
        <v>741</v>
      </c>
      <c r="B5" s="248">
        <f>IF(B15&lt;&gt;0,B13*100/B15,0)</f>
        <v>38.674335191251544</v>
      </c>
      <c r="C5" s="249">
        <f>IF(C15&lt;&gt;0,C13*100/C15,0)</f>
        <v>37.688943623551509</v>
      </c>
      <c r="D5" s="249">
        <f>IF(D15&lt;&gt;0,D13*100/D15,0)</f>
        <v>36.381847652112711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147" t="s">
        <v>742</v>
      </c>
      <c r="B6" s="248">
        <f>IF(B16&lt;&gt;0,B15*100/B16,0)</f>
        <v>76.674413193687599</v>
      </c>
      <c r="C6" s="249">
        <f>IF(C16&lt;&gt;0,C15*100/C16,0)</f>
        <v>79.513116980086224</v>
      </c>
      <c r="D6" s="249">
        <f>IF(D16&lt;&gt;0,D15*100/D16,0)</f>
        <v>79.524831589711582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147" t="s">
        <v>743</v>
      </c>
      <c r="B7" s="248">
        <f>IF(B18+B19&lt;&gt;0,B17*100/(B18+B19),0)</f>
        <v>71.607652204344902</v>
      </c>
      <c r="C7" s="249">
        <f>IF(C18+C19&lt;&gt;0,C17*100/(C18+C19),0)</f>
        <v>74.180160220813278</v>
      </c>
      <c r="D7" s="249">
        <f>IF(D18+D19&lt;&gt;0,D17*100/(D18+D19),0)</f>
        <v>72.514980908190026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152" t="s">
        <v>744</v>
      </c>
      <c r="B8" s="250">
        <f>IF(B18+B19+B20&lt;&gt;0,B17*100/(B18+B19+B20),0)</f>
        <v>71.012805546944207</v>
      </c>
      <c r="C8" s="251">
        <f>IF(C18+C19+C20&lt;&gt;0,C17*100/(C18+C19+C20),0)</f>
        <v>73.370073366095369</v>
      </c>
      <c r="D8" s="251">
        <f>IF(D18+D19+D20&lt;&gt;0,D17*100/(D18+D19+D20),0)</f>
        <v>71.783803320221253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948" t="s">
        <v>745</v>
      </c>
      <c r="B9" s="948"/>
      <c r="C9" s="948"/>
      <c r="D9" s="948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281"/>
      <c r="C10" s="281"/>
      <c r="D10" s="281"/>
    </row>
    <row r="11" spans="1:183" ht="15.6" x14ac:dyDescent="0.3">
      <c r="A11" s="282"/>
      <c r="B11" s="281"/>
      <c r="C11" s="281"/>
      <c r="D11" s="281"/>
    </row>
    <row r="12" spans="1:183" hidden="1" x14ac:dyDescent="0.3">
      <c r="A12" s="411" t="s">
        <v>135</v>
      </c>
      <c r="B12" s="409" t="s">
        <v>952</v>
      </c>
      <c r="C12" s="409" t="s">
        <v>958</v>
      </c>
      <c r="D12" s="409" t="s">
        <v>961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410" t="s">
        <v>746</v>
      </c>
      <c r="B13" s="369">
        <v>2582.08</v>
      </c>
      <c r="C13" s="369">
        <v>2802.6550000000002</v>
      </c>
      <c r="D13" s="369">
        <v>3010.4479999999999</v>
      </c>
    </row>
    <row r="14" spans="1:183" customFormat="1" ht="14.1" hidden="1" customHeight="1" x14ac:dyDescent="0.3">
      <c r="A14" s="410" t="s">
        <v>747</v>
      </c>
      <c r="B14" s="369">
        <v>10030.576999999999</v>
      </c>
      <c r="C14" s="369">
        <v>10855.82</v>
      </c>
      <c r="D14" s="369">
        <v>12066.929</v>
      </c>
      <c r="X14" s="23"/>
    </row>
    <row r="15" spans="1:183" customFormat="1" ht="14.1" hidden="1" customHeight="1" x14ac:dyDescent="0.3">
      <c r="A15" s="410" t="s">
        <v>748</v>
      </c>
      <c r="B15" s="369">
        <v>6676.4690000000001</v>
      </c>
      <c r="C15" s="369">
        <v>7436.2790000000005</v>
      </c>
      <c r="D15" s="369">
        <v>8274.5879999999997</v>
      </c>
      <c r="X15" s="23"/>
    </row>
    <row r="16" spans="1:183" customFormat="1" ht="14.1" hidden="1" customHeight="1" x14ac:dyDescent="0.3">
      <c r="A16" s="410" t="s">
        <v>749</v>
      </c>
      <c r="B16" s="369">
        <v>8707.5580000000009</v>
      </c>
      <c r="C16" s="369">
        <v>9352.2669999999998</v>
      </c>
      <c r="D16" s="369">
        <v>10405.036810000001</v>
      </c>
      <c r="X16" s="23"/>
    </row>
    <row r="17" spans="1:24" customFormat="1" ht="14.1" hidden="1" customHeight="1" x14ac:dyDescent="0.3">
      <c r="A17" s="410" t="s">
        <v>750</v>
      </c>
      <c r="B17" s="369">
        <v>6056.5429999999997</v>
      </c>
      <c r="C17" s="369">
        <v>6695.1629999999996</v>
      </c>
      <c r="D17" s="369">
        <v>7324.8760000000002</v>
      </c>
      <c r="X17" s="23"/>
    </row>
    <row r="18" spans="1:24" customFormat="1" ht="14.1" hidden="1" customHeight="1" x14ac:dyDescent="0.3">
      <c r="A18" s="410" t="s">
        <v>751</v>
      </c>
      <c r="B18" s="369">
        <v>7740.107</v>
      </c>
      <c r="C18" s="369">
        <v>8354.1749999999993</v>
      </c>
      <c r="D18" s="369">
        <v>9348.5310000000009</v>
      </c>
      <c r="X18" s="23"/>
    </row>
    <row r="19" spans="1:24" customFormat="1" ht="14.1" hidden="1" customHeight="1" x14ac:dyDescent="0.3">
      <c r="A19" s="410" t="s">
        <v>752</v>
      </c>
      <c r="B19" s="369">
        <v>717.84799999999996</v>
      </c>
      <c r="C19" s="369">
        <v>671.36900000000003</v>
      </c>
      <c r="D19" s="369">
        <v>752.65899999999999</v>
      </c>
      <c r="X19" s="23"/>
    </row>
    <row r="20" spans="1:24" customFormat="1" ht="14.1" hidden="1" customHeight="1" x14ac:dyDescent="0.3">
      <c r="A20" s="410" t="s">
        <v>753</v>
      </c>
      <c r="B20" s="369">
        <v>70.849000000000004</v>
      </c>
      <c r="C20" s="369">
        <v>99.652000000000001</v>
      </c>
      <c r="D20" s="369">
        <v>102.889</v>
      </c>
      <c r="X20" s="23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Q1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3" ht="14.4" x14ac:dyDescent="0.3">
      <c r="B1" s="212"/>
      <c r="C1" s="212"/>
      <c r="D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2" t="s">
        <v>653</v>
      </c>
      <c r="B2" s="142"/>
      <c r="C2" s="142"/>
      <c r="D2" s="142"/>
      <c r="E2" s="142"/>
      <c r="F2" s="142"/>
      <c r="G2" s="142"/>
      <c r="H2" s="142"/>
      <c r="I2" s="324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32" t="s">
        <v>31</v>
      </c>
      <c r="B3" s="848" t="s">
        <v>146</v>
      </c>
      <c r="C3" s="952"/>
      <c r="D3" s="951" t="s">
        <v>147</v>
      </c>
      <c r="E3" s="949"/>
      <c r="F3" s="949"/>
      <c r="G3" s="950"/>
      <c r="H3" s="846" t="s">
        <v>16</v>
      </c>
      <c r="I3" s="846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832"/>
      <c r="B4" s="951"/>
      <c r="C4" s="950"/>
      <c r="D4" s="951" t="s">
        <v>118</v>
      </c>
      <c r="E4" s="949"/>
      <c r="F4" s="949" t="s">
        <v>119</v>
      </c>
      <c r="G4" s="950"/>
      <c r="H4" s="949"/>
      <c r="I4" s="949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35.4" customHeight="1" x14ac:dyDescent="0.3">
      <c r="A5" s="833"/>
      <c r="B5" s="236" t="s">
        <v>120</v>
      </c>
      <c r="C5" s="237" t="s">
        <v>759</v>
      </c>
      <c r="D5" s="236" t="s">
        <v>120</v>
      </c>
      <c r="E5" s="342" t="s">
        <v>759</v>
      </c>
      <c r="F5" s="342" t="s">
        <v>120</v>
      </c>
      <c r="G5" s="237" t="s">
        <v>759</v>
      </c>
      <c r="H5" s="342" t="s">
        <v>120</v>
      </c>
      <c r="I5" s="342" t="s">
        <v>788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809" t="s">
        <v>979</v>
      </c>
      <c r="B6" s="195">
        <v>1398146</v>
      </c>
      <c r="C6" s="715">
        <v>1375.4059999999999</v>
      </c>
      <c r="D6" s="195">
        <v>2965387</v>
      </c>
      <c r="E6" s="163">
        <v>3118.9830000000002</v>
      </c>
      <c r="F6" s="144">
        <v>1523591</v>
      </c>
      <c r="G6" s="715">
        <v>2936.8510000000001</v>
      </c>
      <c r="H6" s="144">
        <f t="shared" ref="H6:H17" si="0">B6+D6+F6</f>
        <v>5887124</v>
      </c>
      <c r="I6" s="163">
        <f t="shared" ref="I6:I17" si="1">C6+E6+G6</f>
        <v>7431.24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809" t="s">
        <v>980</v>
      </c>
      <c r="B7" s="195">
        <v>1502148</v>
      </c>
      <c r="C7" s="715">
        <v>1414.211</v>
      </c>
      <c r="D7" s="195">
        <v>3161351</v>
      </c>
      <c r="E7" s="163">
        <v>3720.8119999999999</v>
      </c>
      <c r="F7" s="144">
        <v>1638013</v>
      </c>
      <c r="G7" s="715">
        <v>3479.2280000000001</v>
      </c>
      <c r="H7" s="144">
        <f t="shared" si="0"/>
        <v>6301512</v>
      </c>
      <c r="I7" s="163">
        <f t="shared" si="1"/>
        <v>8614.2510000000002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809" t="s">
        <v>977</v>
      </c>
      <c r="B8" s="195">
        <v>1607884</v>
      </c>
      <c r="C8" s="715">
        <v>1514.5029999999999</v>
      </c>
      <c r="D8" s="195">
        <v>3486456</v>
      </c>
      <c r="E8" s="163">
        <v>4375.6970000000001</v>
      </c>
      <c r="F8" s="144">
        <v>1725849</v>
      </c>
      <c r="G8" s="715">
        <v>3624.6129999999998</v>
      </c>
      <c r="H8" s="144">
        <f t="shared" si="0"/>
        <v>6820189</v>
      </c>
      <c r="I8" s="163">
        <f t="shared" si="1"/>
        <v>9514.8130000000001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809" t="s">
        <v>981</v>
      </c>
      <c r="B9" s="195">
        <v>1649639</v>
      </c>
      <c r="C9" s="715">
        <v>1685.499</v>
      </c>
      <c r="D9" s="195">
        <v>3548758</v>
      </c>
      <c r="E9" s="163">
        <v>4235.5389999999998</v>
      </c>
      <c r="F9" s="144">
        <v>1795163</v>
      </c>
      <c r="G9" s="715">
        <v>3747.5</v>
      </c>
      <c r="H9" s="144">
        <f t="shared" si="0"/>
        <v>6993560</v>
      </c>
      <c r="I9" s="163">
        <f t="shared" si="1"/>
        <v>9668.5380000000005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809" t="s">
        <v>982</v>
      </c>
      <c r="B10" s="195">
        <v>1611193</v>
      </c>
      <c r="C10" s="715">
        <v>1636.7449999999999</v>
      </c>
      <c r="D10" s="195">
        <v>3532891</v>
      </c>
      <c r="E10" s="163">
        <v>3929.471</v>
      </c>
      <c r="F10" s="144">
        <v>1725538</v>
      </c>
      <c r="G10" s="715">
        <v>3744.11</v>
      </c>
      <c r="H10" s="144">
        <f t="shared" si="0"/>
        <v>6869622</v>
      </c>
      <c r="I10" s="163">
        <f t="shared" si="1"/>
        <v>9310.3260000000009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809" t="s">
        <v>959</v>
      </c>
      <c r="B11" s="195">
        <v>1641696</v>
      </c>
      <c r="C11" s="715">
        <v>1697.6469999999999</v>
      </c>
      <c r="D11" s="195">
        <v>3729534</v>
      </c>
      <c r="E11" s="163">
        <v>3931.5920000000001</v>
      </c>
      <c r="F11" s="144">
        <v>1558178</v>
      </c>
      <c r="G11" s="715">
        <v>3783.2109999999998</v>
      </c>
      <c r="H11" s="144">
        <f t="shared" si="0"/>
        <v>6929408</v>
      </c>
      <c r="I11" s="163">
        <f t="shared" si="1"/>
        <v>9412.4499999999989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809" t="s">
        <v>983</v>
      </c>
      <c r="B12" s="195">
        <v>1689826</v>
      </c>
      <c r="C12" s="715">
        <v>1865.441</v>
      </c>
      <c r="D12" s="195">
        <v>3934913</v>
      </c>
      <c r="E12" s="163">
        <v>4182.0320000000002</v>
      </c>
      <c r="F12" s="144">
        <v>1760649</v>
      </c>
      <c r="G12" s="715">
        <v>4275.6850000000004</v>
      </c>
      <c r="H12" s="144">
        <f t="shared" si="0"/>
        <v>7385388</v>
      </c>
      <c r="I12" s="163">
        <f t="shared" si="1"/>
        <v>10323.157999999999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809" t="s">
        <v>984</v>
      </c>
      <c r="B13" s="195">
        <v>1606079</v>
      </c>
      <c r="C13" s="715">
        <v>1863.655</v>
      </c>
      <c r="D13" s="195">
        <v>3742001</v>
      </c>
      <c r="E13" s="163">
        <v>4012.2620000000002</v>
      </c>
      <c r="F13" s="144">
        <v>1587222</v>
      </c>
      <c r="G13" s="715">
        <v>3833.7089999999998</v>
      </c>
      <c r="H13" s="144">
        <f t="shared" si="0"/>
        <v>6935302</v>
      </c>
      <c r="I13" s="163">
        <f t="shared" si="1"/>
        <v>9709.6260000000002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809" t="s">
        <v>978</v>
      </c>
      <c r="B14" s="195">
        <v>1632751</v>
      </c>
      <c r="C14" s="715">
        <v>1753.836</v>
      </c>
      <c r="D14" s="195">
        <v>3798040</v>
      </c>
      <c r="E14" s="163">
        <v>3928.0770000000002</v>
      </c>
      <c r="F14" s="144">
        <v>2260860</v>
      </c>
      <c r="G14" s="715">
        <v>3869.64</v>
      </c>
      <c r="H14" s="144">
        <f t="shared" si="0"/>
        <v>7691651</v>
      </c>
      <c r="I14" s="163">
        <f t="shared" si="1"/>
        <v>9551.5529999999999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809" t="s">
        <v>985</v>
      </c>
      <c r="B15" s="195">
        <v>1677422</v>
      </c>
      <c r="C15" s="715">
        <v>1820.7339999999999</v>
      </c>
      <c r="D15" s="195">
        <v>3937813</v>
      </c>
      <c r="E15" s="163">
        <v>4285.2120000000004</v>
      </c>
      <c r="F15" s="144">
        <v>2384652</v>
      </c>
      <c r="G15" s="715">
        <v>4040.6019999999999</v>
      </c>
      <c r="H15" s="144">
        <f t="shared" si="0"/>
        <v>7999887</v>
      </c>
      <c r="I15" s="163">
        <f t="shared" si="1"/>
        <v>10146.547999999999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809" t="s">
        <v>986</v>
      </c>
      <c r="B16" s="195">
        <v>1508258</v>
      </c>
      <c r="C16" s="715">
        <v>1551.152</v>
      </c>
      <c r="D16" s="195">
        <v>3636324</v>
      </c>
      <c r="E16" s="163">
        <v>3742.38</v>
      </c>
      <c r="F16" s="144">
        <v>2142308</v>
      </c>
      <c r="G16" s="715">
        <v>3633.5830000000001</v>
      </c>
      <c r="H16" s="144">
        <f t="shared" si="0"/>
        <v>7286890</v>
      </c>
      <c r="I16" s="163">
        <f t="shared" si="1"/>
        <v>8927.1149999999998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809" t="s">
        <v>968</v>
      </c>
      <c r="B17" s="195">
        <v>1721772</v>
      </c>
      <c r="C17" s="715">
        <v>1888.191</v>
      </c>
      <c r="D17" s="195">
        <v>4165721</v>
      </c>
      <c r="E17" s="163">
        <v>5577.8149999999996</v>
      </c>
      <c r="F17" s="144">
        <v>2565910</v>
      </c>
      <c r="G17" s="715">
        <v>4709.8599999999997</v>
      </c>
      <c r="H17" s="144">
        <f t="shared" si="0"/>
        <v>8453403</v>
      </c>
      <c r="I17" s="163">
        <f t="shared" si="1"/>
        <v>12175.865999999998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thickBot="1" x14ac:dyDescent="0.35">
      <c r="A18" s="810" t="s">
        <v>30</v>
      </c>
      <c r="B18" s="811">
        <f t="shared" ref="B18:I18" si="2">SUM(B6:B17)</f>
        <v>19246814</v>
      </c>
      <c r="C18" s="358">
        <f t="shared" si="2"/>
        <v>20067.019999999997</v>
      </c>
      <c r="D18" s="811">
        <f t="shared" si="2"/>
        <v>43639189</v>
      </c>
      <c r="E18" s="359">
        <f t="shared" si="2"/>
        <v>49039.871999999996</v>
      </c>
      <c r="F18" s="176">
        <f t="shared" si="2"/>
        <v>22667933</v>
      </c>
      <c r="G18" s="358">
        <f t="shared" si="2"/>
        <v>45678.591999999997</v>
      </c>
      <c r="H18" s="176">
        <f t="shared" si="2"/>
        <v>85553936</v>
      </c>
      <c r="I18" s="359">
        <f t="shared" si="2"/>
        <v>114785.484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36"/>
    </row>
    <row r="2" spans="2:6" x14ac:dyDescent="0.3">
      <c r="B2" s="142" t="s">
        <v>921</v>
      </c>
      <c r="C2" s="143"/>
      <c r="D2" s="143"/>
      <c r="E2" s="143"/>
      <c r="F2" s="143"/>
    </row>
    <row r="3" spans="2:6" ht="36" x14ac:dyDescent="0.3">
      <c r="B3" s="565" t="s">
        <v>150</v>
      </c>
      <c r="C3" s="241" t="s">
        <v>895</v>
      </c>
      <c r="D3" s="241" t="s">
        <v>693</v>
      </c>
      <c r="E3" s="241" t="s">
        <v>694</v>
      </c>
      <c r="F3" s="241" t="s">
        <v>13</v>
      </c>
    </row>
    <row r="4" spans="2:6" x14ac:dyDescent="0.3">
      <c r="B4" s="560" t="s">
        <v>962</v>
      </c>
      <c r="C4" s="561"/>
      <c r="D4" s="561"/>
      <c r="E4" s="561"/>
      <c r="F4" s="561"/>
    </row>
    <row r="5" spans="2:6" x14ac:dyDescent="0.3">
      <c r="B5" s="553" t="s">
        <v>925</v>
      </c>
      <c r="C5" s="554">
        <v>171</v>
      </c>
      <c r="D5" s="554">
        <v>107</v>
      </c>
      <c r="E5" s="144">
        <v>8231</v>
      </c>
      <c r="F5" s="144">
        <v>440</v>
      </c>
    </row>
    <row r="6" spans="2:6" ht="24" x14ac:dyDescent="0.3">
      <c r="B6" s="555" t="s">
        <v>924</v>
      </c>
      <c r="C6" s="144">
        <v>29</v>
      </c>
      <c r="D6" s="144">
        <v>21</v>
      </c>
      <c r="E6" s="144">
        <v>3712</v>
      </c>
      <c r="F6" s="144">
        <v>132</v>
      </c>
    </row>
    <row r="7" spans="2:6" ht="14.1" customHeight="1" thickBot="1" x14ac:dyDescent="0.35">
      <c r="B7" s="564" t="s">
        <v>16</v>
      </c>
      <c r="C7" s="559">
        <f>C5+C6</f>
        <v>200</v>
      </c>
      <c r="D7" s="559">
        <f>D5+D6</f>
        <v>128</v>
      </c>
      <c r="E7" s="559">
        <f t="shared" ref="E7:F7" si="0">E5+E6</f>
        <v>11943</v>
      </c>
      <c r="F7" s="559">
        <f t="shared" si="0"/>
        <v>572</v>
      </c>
    </row>
    <row r="8" spans="2:6" ht="14.1" customHeight="1" x14ac:dyDescent="0.3">
      <c r="B8" s="562" t="s">
        <v>960</v>
      </c>
      <c r="C8" s="563"/>
      <c r="D8" s="563"/>
      <c r="E8" s="563"/>
      <c r="F8" s="563"/>
    </row>
    <row r="9" spans="2:6" ht="14.1" customHeight="1" x14ac:dyDescent="0.3">
      <c r="B9" s="553" t="s">
        <v>925</v>
      </c>
      <c r="C9" s="554">
        <v>167</v>
      </c>
      <c r="D9" s="554">
        <v>110</v>
      </c>
      <c r="E9" s="144">
        <v>10168</v>
      </c>
      <c r="F9" s="144">
        <v>478</v>
      </c>
    </row>
    <row r="10" spans="2:6" ht="24" x14ac:dyDescent="0.3">
      <c r="B10" s="555" t="s">
        <v>924</v>
      </c>
      <c r="C10" s="144">
        <v>30</v>
      </c>
      <c r="D10" s="144">
        <v>21</v>
      </c>
      <c r="E10" s="144">
        <v>4635</v>
      </c>
      <c r="F10" s="144">
        <v>144</v>
      </c>
    </row>
    <row r="11" spans="2:6" ht="14.1" customHeight="1" thickBot="1" x14ac:dyDescent="0.35">
      <c r="B11" s="558" t="s">
        <v>16</v>
      </c>
      <c r="C11" s="559">
        <f>C9+C10</f>
        <v>197</v>
      </c>
      <c r="D11" s="559">
        <f>D9+D10</f>
        <v>131</v>
      </c>
      <c r="E11" s="559">
        <f t="shared" ref="E11:F11" si="1">E9+E10</f>
        <v>14803</v>
      </c>
      <c r="F11" s="559">
        <f t="shared" si="1"/>
        <v>622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Q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212"/>
      <c r="C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ht="13.8" customHeight="1" x14ac:dyDescent="0.25">
      <c r="B2" s="142" t="s">
        <v>615</v>
      </c>
      <c r="C2" s="142"/>
      <c r="D2" s="142"/>
      <c r="E2" s="142"/>
      <c r="F2" s="142"/>
      <c r="G2" s="142"/>
      <c r="H2" s="142"/>
      <c r="I2" s="142"/>
      <c r="J2" s="324" t="s">
        <v>763</v>
      </c>
    </row>
    <row r="3" spans="2:173" x14ac:dyDescent="0.25">
      <c r="B3" s="957" t="s">
        <v>123</v>
      </c>
      <c r="C3" s="953" t="s">
        <v>124</v>
      </c>
      <c r="D3" s="953" t="s">
        <v>125</v>
      </c>
      <c r="E3" s="953" t="s">
        <v>126</v>
      </c>
      <c r="F3" s="954" t="s">
        <v>961</v>
      </c>
      <c r="G3" s="955"/>
      <c r="H3" s="955"/>
      <c r="I3" s="955"/>
      <c r="J3" s="956"/>
    </row>
    <row r="4" spans="2:173" ht="24" customHeight="1" x14ac:dyDescent="0.25">
      <c r="B4" s="957"/>
      <c r="C4" s="953"/>
      <c r="D4" s="953"/>
      <c r="E4" s="953"/>
      <c r="F4" s="370" t="s">
        <v>765</v>
      </c>
      <c r="G4" s="370" t="s">
        <v>140</v>
      </c>
      <c r="H4" s="370" t="s">
        <v>134</v>
      </c>
      <c r="I4" s="370" t="s">
        <v>204</v>
      </c>
      <c r="J4" s="371" t="s">
        <v>1</v>
      </c>
    </row>
    <row r="5" spans="2:173" ht="15" customHeight="1" x14ac:dyDescent="0.25">
      <c r="B5" s="376" t="s">
        <v>930</v>
      </c>
      <c r="C5" s="376" t="s">
        <v>991</v>
      </c>
      <c r="D5" s="376" t="s">
        <v>992</v>
      </c>
      <c r="E5" s="376" t="s">
        <v>1000</v>
      </c>
      <c r="F5" s="372">
        <v>3419.203</v>
      </c>
      <c r="G5" s="372">
        <v>419.47</v>
      </c>
      <c r="H5" s="372">
        <v>1976.2180000000001</v>
      </c>
      <c r="I5" s="372">
        <v>2669.5720000000001</v>
      </c>
      <c r="J5" s="373">
        <v>721</v>
      </c>
    </row>
    <row r="6" spans="2:173" ht="15" customHeight="1" x14ac:dyDescent="0.25">
      <c r="B6" s="376" t="s">
        <v>931</v>
      </c>
      <c r="C6" s="376" t="s">
        <v>991</v>
      </c>
      <c r="D6" s="376" t="s">
        <v>1001</v>
      </c>
      <c r="E6" s="376" t="s">
        <v>999</v>
      </c>
      <c r="F6" s="374">
        <v>2619.9059999999999</v>
      </c>
      <c r="G6" s="374">
        <v>318.07</v>
      </c>
      <c r="H6" s="374">
        <v>1477.212</v>
      </c>
      <c r="I6" s="374">
        <v>2048.6750000000002</v>
      </c>
      <c r="J6" s="375">
        <v>523</v>
      </c>
    </row>
    <row r="7" spans="2:173" ht="15" customHeight="1" x14ac:dyDescent="0.25">
      <c r="B7" s="376" t="s">
        <v>932</v>
      </c>
      <c r="C7" s="376" t="s">
        <v>991</v>
      </c>
      <c r="D7" s="376" t="s">
        <v>1002</v>
      </c>
      <c r="E7" s="376" t="s">
        <v>998</v>
      </c>
      <c r="F7" s="374">
        <v>1547.502</v>
      </c>
      <c r="G7" s="374">
        <v>261.54000000000002</v>
      </c>
      <c r="H7" s="374">
        <v>973.76599999999996</v>
      </c>
      <c r="I7" s="374">
        <v>1174.183</v>
      </c>
      <c r="J7" s="375">
        <v>376</v>
      </c>
    </row>
    <row r="8" spans="2:173" ht="15" customHeight="1" x14ac:dyDescent="0.25">
      <c r="B8" s="376" t="s">
        <v>933</v>
      </c>
      <c r="C8" s="376" t="s">
        <v>991</v>
      </c>
      <c r="D8" s="376" t="s">
        <v>987</v>
      </c>
      <c r="E8" s="376" t="s">
        <v>997</v>
      </c>
      <c r="F8" s="374">
        <v>1360.23</v>
      </c>
      <c r="G8" s="374">
        <v>211.976</v>
      </c>
      <c r="H8" s="374">
        <v>849.09400000000005</v>
      </c>
      <c r="I8" s="374">
        <v>1029.7049999999999</v>
      </c>
      <c r="J8" s="375">
        <v>431</v>
      </c>
    </row>
    <row r="9" spans="2:173" ht="15" customHeight="1" x14ac:dyDescent="0.25">
      <c r="B9" s="376" t="s">
        <v>934</v>
      </c>
      <c r="C9" s="376" t="s">
        <v>991</v>
      </c>
      <c r="D9" s="376" t="s">
        <v>989</v>
      </c>
      <c r="E9" s="376" t="s">
        <v>996</v>
      </c>
      <c r="F9" s="374">
        <v>1131.5619999999999</v>
      </c>
      <c r="G9" s="374">
        <v>205.76400000000001</v>
      </c>
      <c r="H9" s="374">
        <v>778.15499999999997</v>
      </c>
      <c r="I9" s="374">
        <v>859.24800000000005</v>
      </c>
      <c r="J9" s="375">
        <v>355</v>
      </c>
    </row>
    <row r="10" spans="2:173" ht="15" customHeight="1" x14ac:dyDescent="0.25">
      <c r="B10" s="376" t="s">
        <v>935</v>
      </c>
      <c r="C10" s="376" t="s">
        <v>991</v>
      </c>
      <c r="D10" s="376" t="s">
        <v>990</v>
      </c>
      <c r="E10" s="376" t="s">
        <v>995</v>
      </c>
      <c r="F10" s="374">
        <v>978.31899999999996</v>
      </c>
      <c r="G10" s="374">
        <v>125.86199999999999</v>
      </c>
      <c r="H10" s="374">
        <v>728.22500000000002</v>
      </c>
      <c r="I10" s="374">
        <v>748.13300000000004</v>
      </c>
      <c r="J10" s="375">
        <v>346</v>
      </c>
    </row>
    <row r="11" spans="2:173" ht="15" customHeight="1" x14ac:dyDescent="0.25">
      <c r="B11" s="376" t="s">
        <v>936</v>
      </c>
      <c r="C11" s="376" t="s">
        <v>991</v>
      </c>
      <c r="D11" s="376" t="s">
        <v>988</v>
      </c>
      <c r="E11" s="376" t="s">
        <v>994</v>
      </c>
      <c r="F11" s="374">
        <v>591.75300000000004</v>
      </c>
      <c r="G11" s="374">
        <v>64.760999999999996</v>
      </c>
      <c r="H11" s="374">
        <v>290.43400000000003</v>
      </c>
      <c r="I11" s="374">
        <v>479.66300000000001</v>
      </c>
      <c r="J11" s="375">
        <v>195</v>
      </c>
    </row>
    <row r="12" spans="2:173" ht="15" customHeight="1" x14ac:dyDescent="0.25">
      <c r="B12" s="376" t="s">
        <v>963</v>
      </c>
      <c r="C12" s="376" t="s">
        <v>991</v>
      </c>
      <c r="D12" s="376" t="s">
        <v>1003</v>
      </c>
      <c r="E12" s="376" t="s">
        <v>993</v>
      </c>
      <c r="F12" s="377">
        <v>418.45400000000001</v>
      </c>
      <c r="G12" s="377">
        <v>39.862000000000002</v>
      </c>
      <c r="H12" s="377">
        <v>251.77199999999999</v>
      </c>
      <c r="I12" s="377">
        <v>339.35199999999998</v>
      </c>
      <c r="J12" s="378">
        <v>201</v>
      </c>
    </row>
    <row r="13" spans="2:173" ht="15" customHeight="1" thickBot="1" x14ac:dyDescent="0.3">
      <c r="B13" s="379"/>
      <c r="C13" s="380"/>
      <c r="D13" s="381"/>
      <c r="E13" s="382" t="s">
        <v>30</v>
      </c>
      <c r="F13" s="382">
        <f>SUM(F5:F12)</f>
        <v>12066.929</v>
      </c>
      <c r="G13" s="382">
        <f t="shared" ref="G13:I13" si="0">SUM(G5:G12)</f>
        <v>1647.3050000000003</v>
      </c>
      <c r="H13" s="382">
        <f t="shared" si="0"/>
        <v>7324.8760000000002</v>
      </c>
      <c r="I13" s="382">
        <f t="shared" si="0"/>
        <v>9348.5310000000009</v>
      </c>
      <c r="J13" s="459">
        <f>SUM(J5:J12)</f>
        <v>3148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Q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5.77734375" style="3" customWidth="1"/>
    <col min="4" max="4" width="7.5546875" style="3" customWidth="1"/>
    <col min="5" max="5" width="5.77734375" style="3" customWidth="1"/>
    <col min="6" max="6" width="7.5546875" style="3" customWidth="1"/>
    <col min="7" max="7" width="5.77734375" style="3" customWidth="1"/>
    <col min="8" max="8" width="10.77734375" style="3" customWidth="1"/>
    <col min="9" max="9" width="9.109375" style="3" hidden="1" customWidth="1"/>
    <col min="10" max="16384" width="9.109375" style="3"/>
  </cols>
  <sheetData>
    <row r="1" spans="1:225" ht="14.4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225" ht="15" thickBot="1" x14ac:dyDescent="0.35">
      <c r="A2" s="142" t="s">
        <v>876</v>
      </c>
      <c r="B2" s="142"/>
      <c r="C2" s="142"/>
      <c r="D2" s="142"/>
      <c r="E2" s="142"/>
      <c r="F2" s="142"/>
      <c r="G2" s="142"/>
      <c r="H2" s="145" t="s">
        <v>877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225" ht="31.2" customHeight="1" x14ac:dyDescent="0.3">
      <c r="A3" s="502"/>
      <c r="B3" s="503" t="s">
        <v>952</v>
      </c>
      <c r="C3" s="520" t="s">
        <v>3</v>
      </c>
      <c r="D3" s="503" t="s">
        <v>958</v>
      </c>
      <c r="E3" s="520" t="s">
        <v>3</v>
      </c>
      <c r="F3" s="503" t="s">
        <v>961</v>
      </c>
      <c r="G3" s="520" t="s">
        <v>3</v>
      </c>
      <c r="H3" s="634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2025./2024.</v>
      </c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504"/>
      <c r="AO3" s="504"/>
      <c r="AP3" s="504"/>
      <c r="AQ3" s="504"/>
      <c r="AR3" s="504"/>
      <c r="AS3" s="504"/>
      <c r="AT3" s="504"/>
      <c r="AU3" s="504"/>
      <c r="AV3" s="504"/>
      <c r="AW3" s="504"/>
      <c r="AX3" s="504"/>
      <c r="AY3" s="504"/>
      <c r="AZ3" s="504"/>
      <c r="BA3" s="504"/>
      <c r="BB3" s="504"/>
      <c r="BC3" s="504"/>
      <c r="BD3" s="504"/>
      <c r="BE3" s="504"/>
      <c r="BF3" s="504"/>
      <c r="BG3" s="504"/>
      <c r="BH3" s="504"/>
      <c r="BI3" s="504"/>
      <c r="BJ3" s="504"/>
      <c r="BK3" s="504"/>
      <c r="BL3" s="504"/>
      <c r="BM3" s="504"/>
      <c r="BN3" s="504"/>
      <c r="BO3" s="504"/>
      <c r="BP3" s="504"/>
      <c r="BQ3" s="504"/>
      <c r="BR3" s="504"/>
      <c r="BS3" s="504"/>
      <c r="BT3" s="504"/>
      <c r="BU3" s="504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 s="504"/>
      <c r="FS3" s="504"/>
      <c r="FT3" s="504"/>
      <c r="FU3" s="504"/>
      <c r="FV3" s="504"/>
      <c r="FW3" s="504"/>
      <c r="FX3" s="504"/>
      <c r="FY3" s="504"/>
      <c r="FZ3" s="504"/>
      <c r="GA3" s="504"/>
      <c r="GB3" s="504"/>
      <c r="GC3" s="504"/>
      <c r="GD3" s="504"/>
      <c r="GE3" s="504"/>
      <c r="GF3" s="504"/>
      <c r="GG3" s="504"/>
      <c r="GH3" s="504"/>
      <c r="GI3" s="504"/>
      <c r="GJ3" s="504"/>
      <c r="GK3" s="504"/>
      <c r="GL3" s="504"/>
      <c r="GM3" s="504"/>
      <c r="GN3" s="504"/>
      <c r="GO3" s="504"/>
      <c r="GP3" s="504"/>
      <c r="GQ3" s="504"/>
      <c r="GR3" s="504"/>
      <c r="GS3" s="504"/>
      <c r="GT3" s="504"/>
      <c r="GU3" s="504"/>
      <c r="GV3" s="504"/>
      <c r="GW3" s="504"/>
      <c r="GX3" s="504"/>
      <c r="GY3" s="504"/>
      <c r="GZ3" s="504"/>
      <c r="HA3" s="504"/>
      <c r="HB3" s="504"/>
      <c r="HC3" s="504"/>
      <c r="HD3" s="504"/>
      <c r="HE3" s="504"/>
      <c r="HF3" s="504"/>
      <c r="HG3" s="504"/>
      <c r="HH3" s="504"/>
      <c r="HI3" s="504"/>
      <c r="HJ3" s="504"/>
      <c r="HK3" s="504"/>
      <c r="HL3" s="504"/>
      <c r="HM3" s="504"/>
      <c r="HN3" s="504"/>
      <c r="HO3" s="504"/>
      <c r="HP3" s="504"/>
      <c r="HQ3" s="504"/>
    </row>
    <row r="4" spans="1:225" ht="14.4" x14ac:dyDescent="0.3">
      <c r="A4" s="506" t="s">
        <v>836</v>
      </c>
      <c r="B4" s="812"/>
      <c r="C4" s="813"/>
      <c r="D4" s="812"/>
      <c r="E4" s="813"/>
      <c r="F4" s="812"/>
      <c r="G4" s="813"/>
      <c r="H4" s="81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504"/>
      <c r="AW4" s="504"/>
      <c r="AX4" s="504"/>
      <c r="AY4" s="504"/>
      <c r="AZ4" s="504"/>
      <c r="BA4" s="504"/>
      <c r="BB4" s="504"/>
      <c r="BC4" s="504"/>
      <c r="BD4" s="504"/>
      <c r="BE4" s="504"/>
      <c r="BF4" s="504"/>
      <c r="BG4" s="504"/>
      <c r="BH4" s="504"/>
      <c r="BI4" s="504"/>
      <c r="BJ4" s="504"/>
      <c r="BK4" s="504"/>
      <c r="BL4" s="504"/>
      <c r="BM4" s="504"/>
      <c r="BN4" s="504"/>
      <c r="BO4" s="504"/>
      <c r="BP4" s="504"/>
      <c r="BQ4" s="504"/>
      <c r="BR4" s="504"/>
      <c r="BS4" s="504"/>
      <c r="BT4" s="504"/>
      <c r="BU4" s="50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 s="504"/>
      <c r="FS4" s="504"/>
      <c r="FT4" s="504"/>
      <c r="FU4" s="504"/>
      <c r="FV4" s="504"/>
      <c r="FW4" s="504"/>
      <c r="FX4" s="504"/>
      <c r="FY4" s="504"/>
      <c r="FZ4" s="504"/>
      <c r="GA4" s="504"/>
      <c r="GB4" s="504"/>
      <c r="GC4" s="504"/>
      <c r="GD4" s="504"/>
      <c r="GE4" s="504"/>
      <c r="GF4" s="504"/>
      <c r="GG4" s="504"/>
      <c r="GH4" s="504"/>
      <c r="GI4" s="504"/>
      <c r="GJ4" s="504"/>
      <c r="GK4" s="504"/>
      <c r="GL4" s="504"/>
      <c r="GM4" s="504"/>
      <c r="GN4" s="504"/>
      <c r="GO4" s="504"/>
      <c r="GP4" s="504"/>
      <c r="GQ4" s="504"/>
      <c r="GR4" s="504"/>
      <c r="GS4" s="504"/>
      <c r="GT4" s="504"/>
      <c r="GU4" s="504"/>
      <c r="GV4" s="504"/>
      <c r="GW4" s="504"/>
      <c r="GX4" s="504"/>
      <c r="GY4" s="504"/>
      <c r="GZ4" s="504"/>
      <c r="HA4" s="504"/>
      <c r="HB4" s="504"/>
      <c r="HC4" s="504"/>
      <c r="HD4" s="504"/>
      <c r="HE4" s="504"/>
      <c r="HF4" s="504"/>
      <c r="HG4" s="504"/>
      <c r="HH4" s="504"/>
      <c r="HI4" s="504"/>
      <c r="HJ4" s="504"/>
      <c r="HK4" s="504"/>
      <c r="HL4" s="504"/>
      <c r="HM4" s="504"/>
      <c r="HN4" s="504"/>
      <c r="HO4" s="504"/>
      <c r="HP4" s="504"/>
      <c r="HQ4" s="504"/>
    </row>
    <row r="5" spans="1:225" ht="14.4" x14ac:dyDescent="0.3">
      <c r="A5" s="235" t="s">
        <v>100</v>
      </c>
      <c r="B5" s="815"/>
      <c r="C5" s="816"/>
      <c r="D5" s="815"/>
      <c r="E5" s="816"/>
      <c r="F5" s="815"/>
      <c r="G5" s="816"/>
      <c r="H5" s="817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504"/>
      <c r="AZ5" s="504"/>
      <c r="BA5" s="504"/>
      <c r="BB5" s="504"/>
      <c r="BC5" s="504"/>
      <c r="BD5" s="504"/>
      <c r="BE5" s="504"/>
      <c r="BF5" s="504"/>
      <c r="BG5" s="504"/>
      <c r="BH5" s="504"/>
      <c r="BI5" s="504"/>
      <c r="BJ5" s="504"/>
      <c r="BK5" s="504"/>
      <c r="BL5" s="504"/>
      <c r="BM5" s="504"/>
      <c r="BN5" s="504"/>
      <c r="BO5" s="504"/>
      <c r="BP5" s="504"/>
      <c r="BQ5" s="504"/>
      <c r="BR5" s="504"/>
      <c r="BS5" s="504"/>
      <c r="BT5" s="504"/>
      <c r="BU5" s="504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 s="504"/>
      <c r="FS5" s="504"/>
      <c r="FT5" s="504"/>
      <c r="FU5" s="504"/>
      <c r="FV5" s="504"/>
      <c r="FW5" s="504"/>
      <c r="FX5" s="504"/>
      <c r="FY5" s="504"/>
      <c r="FZ5" s="504"/>
      <c r="GA5" s="504"/>
      <c r="GB5" s="504"/>
      <c r="GC5" s="504"/>
      <c r="GD5" s="504"/>
      <c r="GE5" s="504"/>
      <c r="GF5" s="504"/>
      <c r="GG5" s="504"/>
      <c r="GH5" s="504"/>
      <c r="GI5" s="504"/>
      <c r="GJ5" s="504"/>
      <c r="GK5" s="504"/>
      <c r="GL5" s="504"/>
      <c r="GM5" s="504"/>
      <c r="GN5" s="504"/>
      <c r="GO5" s="504"/>
      <c r="GP5" s="504"/>
      <c r="GQ5" s="504"/>
      <c r="GR5" s="504"/>
      <c r="GS5" s="504"/>
      <c r="GT5" s="504"/>
      <c r="GU5" s="504"/>
      <c r="GV5" s="504"/>
      <c r="GW5" s="504"/>
      <c r="GX5" s="504"/>
      <c r="GY5" s="504"/>
      <c r="GZ5" s="504"/>
      <c r="HA5" s="504"/>
      <c r="HB5" s="504"/>
      <c r="HC5" s="504"/>
      <c r="HD5" s="504"/>
      <c r="HE5" s="504"/>
      <c r="HF5" s="504"/>
      <c r="HG5" s="504"/>
      <c r="HH5" s="504"/>
      <c r="HI5" s="504"/>
      <c r="HJ5" s="504"/>
      <c r="HK5" s="504"/>
      <c r="HL5" s="504"/>
      <c r="HM5" s="504"/>
      <c r="HN5" s="504"/>
      <c r="HO5" s="504"/>
      <c r="HP5" s="504"/>
      <c r="HQ5" s="504"/>
    </row>
    <row r="6" spans="1:225" ht="14.4" x14ac:dyDescent="0.3">
      <c r="A6" s="235" t="s">
        <v>211</v>
      </c>
      <c r="B6" s="818">
        <v>14.688000000000001</v>
      </c>
      <c r="C6" s="819">
        <f>IF(B$13&lt;&gt;0,B6*100/B$13,"-")</f>
        <v>3.5874264220990151</v>
      </c>
      <c r="D6" s="818">
        <v>27.425999999999998</v>
      </c>
      <c r="E6" s="819">
        <f>IF(D$13&lt;&gt;0,D6*100/D$13,"-")</f>
        <v>5.8595427479986419</v>
      </c>
      <c r="F6" s="818">
        <v>17.446999999999999</v>
      </c>
      <c r="G6" s="819">
        <f>IF(F$13&lt;&gt;0,F6*100/F$13,"-")</f>
        <v>3.6030770819350502</v>
      </c>
      <c r="H6" s="817">
        <f>IF(D6&lt;&gt;0,F6*100/D6,"-")</f>
        <v>63.614818055859402</v>
      </c>
      <c r="I6" s="504" t="s">
        <v>655</v>
      </c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4"/>
      <c r="BB6" s="504"/>
      <c r="BC6" s="504"/>
      <c r="BD6" s="504"/>
      <c r="BE6" s="504"/>
      <c r="BF6" s="504"/>
      <c r="BG6" s="504"/>
      <c r="BH6" s="504"/>
      <c r="BI6" s="504"/>
      <c r="BJ6" s="504"/>
      <c r="BK6" s="504"/>
      <c r="BL6" s="504"/>
      <c r="BM6" s="504"/>
      <c r="BN6" s="504"/>
      <c r="BO6" s="504"/>
      <c r="BP6" s="504"/>
      <c r="BQ6" s="504"/>
      <c r="BR6" s="504"/>
      <c r="BS6" s="504"/>
      <c r="BT6" s="504"/>
      <c r="BU6" s="504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 s="504"/>
      <c r="FS6" s="504"/>
      <c r="FT6" s="504"/>
      <c r="FU6" s="504"/>
      <c r="FV6" s="504"/>
      <c r="FW6" s="504"/>
      <c r="FX6" s="504"/>
      <c r="FY6" s="504"/>
      <c r="FZ6" s="504"/>
      <c r="GA6" s="504"/>
      <c r="GB6" s="504"/>
      <c r="GC6" s="504"/>
      <c r="GD6" s="504"/>
      <c r="GE6" s="504"/>
      <c r="GF6" s="504"/>
      <c r="GG6" s="504"/>
      <c r="GH6" s="504"/>
      <c r="GI6" s="504"/>
      <c r="GJ6" s="504"/>
      <c r="GK6" s="504"/>
      <c r="GL6" s="504"/>
      <c r="GM6" s="504"/>
      <c r="GN6" s="504"/>
      <c r="GO6" s="504"/>
      <c r="GP6" s="504"/>
      <c r="GQ6" s="504"/>
      <c r="GR6" s="504"/>
      <c r="GS6" s="504"/>
      <c r="GT6" s="504"/>
      <c r="GU6" s="504"/>
      <c r="GV6" s="504"/>
      <c r="GW6" s="504"/>
      <c r="GX6" s="504"/>
      <c r="GY6" s="504"/>
      <c r="GZ6" s="504"/>
      <c r="HA6" s="504"/>
      <c r="HB6" s="504"/>
      <c r="HC6" s="504"/>
      <c r="HD6" s="504"/>
      <c r="HE6" s="504"/>
      <c r="HF6" s="504"/>
      <c r="HG6" s="504"/>
      <c r="HH6" s="504"/>
      <c r="HI6" s="504"/>
      <c r="HJ6" s="504"/>
      <c r="HK6" s="504"/>
      <c r="HL6" s="504"/>
      <c r="HM6" s="504"/>
      <c r="HN6" s="504"/>
      <c r="HO6" s="504"/>
      <c r="HP6" s="504"/>
      <c r="HQ6" s="504"/>
    </row>
    <row r="7" spans="1:225" ht="14.4" x14ac:dyDescent="0.3">
      <c r="A7" s="235" t="s">
        <v>837</v>
      </c>
      <c r="B7" s="818">
        <v>3.2269999999999999</v>
      </c>
      <c r="C7" s="819">
        <f t="shared" ref="C7:E12" si="0">IF(B$13&lt;&gt;0,B7*100/B$13,"-")</f>
        <v>0.78816891776372011</v>
      </c>
      <c r="D7" s="818">
        <v>6.2119999999999997</v>
      </c>
      <c r="E7" s="819">
        <f t="shared" si="0"/>
        <v>1.3271887825628075</v>
      </c>
      <c r="F7" s="818">
        <v>5.7569999999999997</v>
      </c>
      <c r="G7" s="819">
        <f t="shared" ref="G7" si="1">IF(F$13&lt;&gt;0,F7*100/F$13,"-")</f>
        <v>1.1889101140998501</v>
      </c>
      <c r="H7" s="817">
        <f t="shared" ref="H7:H48" si="2">IF(D7&lt;&gt;0,F7*100/D7,"-")</f>
        <v>92.675466838377332</v>
      </c>
      <c r="I7" s="504" t="s">
        <v>656</v>
      </c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  <c r="AM7" s="504"/>
      <c r="AN7" s="504"/>
      <c r="AO7" s="504"/>
      <c r="AP7" s="504"/>
      <c r="AQ7" s="504"/>
      <c r="AR7" s="504"/>
      <c r="AS7" s="504"/>
      <c r="AT7" s="504"/>
      <c r="AU7" s="504"/>
      <c r="AV7" s="504"/>
      <c r="AW7" s="504"/>
      <c r="AX7" s="504"/>
      <c r="AY7" s="504"/>
      <c r="AZ7" s="504"/>
      <c r="BA7" s="504"/>
      <c r="BB7" s="504"/>
      <c r="BC7" s="504"/>
      <c r="BD7" s="504"/>
      <c r="BE7" s="504"/>
      <c r="BF7" s="504"/>
      <c r="BG7" s="504"/>
      <c r="BH7" s="504"/>
      <c r="BI7" s="504"/>
      <c r="BJ7" s="504"/>
      <c r="BK7" s="504"/>
      <c r="BL7" s="504"/>
      <c r="BM7" s="504"/>
      <c r="BN7" s="504"/>
      <c r="BO7" s="504"/>
      <c r="BP7" s="504"/>
      <c r="BQ7" s="504"/>
      <c r="BR7" s="504"/>
      <c r="BS7" s="504"/>
      <c r="BT7" s="504"/>
      <c r="BU7" s="504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 s="504"/>
      <c r="FS7" s="504"/>
      <c r="FT7" s="504"/>
      <c r="FU7" s="504"/>
      <c r="FV7" s="504"/>
      <c r="FW7" s="504"/>
      <c r="FX7" s="504"/>
      <c r="FY7" s="504"/>
      <c r="FZ7" s="504"/>
      <c r="GA7" s="504"/>
      <c r="GB7" s="504"/>
      <c r="GC7" s="504"/>
      <c r="GD7" s="504"/>
      <c r="GE7" s="504"/>
      <c r="GF7" s="504"/>
      <c r="GG7" s="504"/>
      <c r="GH7" s="504"/>
      <c r="GI7" s="504"/>
      <c r="GJ7" s="504"/>
      <c r="GK7" s="504"/>
      <c r="GL7" s="504"/>
      <c r="GM7" s="504"/>
      <c r="GN7" s="504"/>
      <c r="GO7" s="504"/>
      <c r="GP7" s="504"/>
      <c r="GQ7" s="504"/>
      <c r="GR7" s="504"/>
      <c r="GS7" s="504"/>
      <c r="GT7" s="504"/>
      <c r="GU7" s="504"/>
      <c r="GV7" s="504"/>
      <c r="GW7" s="504"/>
      <c r="GX7" s="504"/>
      <c r="GY7" s="504"/>
      <c r="GZ7" s="504"/>
      <c r="HA7" s="504"/>
      <c r="HB7" s="504"/>
      <c r="HC7" s="504"/>
      <c r="HD7" s="504"/>
      <c r="HE7" s="504"/>
      <c r="HF7" s="504"/>
      <c r="HG7" s="504"/>
      <c r="HH7" s="504"/>
      <c r="HI7" s="504"/>
      <c r="HJ7" s="504"/>
      <c r="HK7" s="504"/>
      <c r="HL7" s="504"/>
      <c r="HM7" s="504"/>
      <c r="HN7" s="504"/>
      <c r="HO7" s="504"/>
      <c r="HP7" s="504"/>
      <c r="HQ7" s="504"/>
    </row>
    <row r="8" spans="1:225" ht="14.4" x14ac:dyDescent="0.3">
      <c r="A8" s="235" t="s">
        <v>838</v>
      </c>
      <c r="B8" s="818">
        <v>324.04700000000003</v>
      </c>
      <c r="C8" s="819">
        <f t="shared" si="0"/>
        <v>79.145885743594746</v>
      </c>
      <c r="D8" s="818">
        <v>357.87700000000001</v>
      </c>
      <c r="E8" s="819">
        <f t="shared" si="0"/>
        <v>76.46013199247102</v>
      </c>
      <c r="F8" s="818">
        <v>379.29700000000003</v>
      </c>
      <c r="G8" s="819">
        <f t="shared" ref="G8" si="3">IF(F$13&lt;&gt;0,F8*100/F$13,"-")</f>
        <v>78.330734679126451</v>
      </c>
      <c r="H8" s="817">
        <f t="shared" si="2"/>
        <v>105.98529662425918</v>
      </c>
      <c r="I8" s="504" t="s">
        <v>657</v>
      </c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504"/>
      <c r="AL8" s="504"/>
      <c r="AM8" s="504"/>
      <c r="AN8" s="504"/>
      <c r="AO8" s="504"/>
      <c r="AP8" s="504"/>
      <c r="AQ8" s="504"/>
      <c r="AR8" s="504"/>
      <c r="AS8" s="504"/>
      <c r="AT8" s="504"/>
      <c r="AU8" s="504"/>
      <c r="AV8" s="504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4"/>
      <c r="BT8" s="504"/>
      <c r="BU8" s="504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 s="504"/>
      <c r="FS8" s="504"/>
      <c r="FT8" s="504"/>
      <c r="FU8" s="504"/>
      <c r="FV8" s="504"/>
      <c r="FW8" s="504"/>
      <c r="FX8" s="504"/>
      <c r="FY8" s="504"/>
      <c r="FZ8" s="504"/>
      <c r="GA8" s="504"/>
      <c r="GB8" s="504"/>
      <c r="GC8" s="504"/>
      <c r="GD8" s="504"/>
      <c r="GE8" s="504"/>
      <c r="GF8" s="504"/>
      <c r="GG8" s="504"/>
      <c r="GH8" s="504"/>
      <c r="GI8" s="504"/>
      <c r="GJ8" s="504"/>
      <c r="GK8" s="504"/>
      <c r="GL8" s="504"/>
      <c r="GM8" s="504"/>
      <c r="GN8" s="504"/>
      <c r="GO8" s="504"/>
      <c r="GP8" s="504"/>
      <c r="GQ8" s="504"/>
      <c r="GR8" s="504"/>
      <c r="GS8" s="504"/>
      <c r="GT8" s="504"/>
      <c r="GU8" s="504"/>
      <c r="GV8" s="504"/>
      <c r="GW8" s="504"/>
      <c r="GX8" s="504"/>
      <c r="GY8" s="504"/>
      <c r="GZ8" s="504"/>
      <c r="HA8" s="504"/>
      <c r="HB8" s="504"/>
      <c r="HC8" s="504"/>
      <c r="HD8" s="504"/>
      <c r="HE8" s="504"/>
      <c r="HF8" s="504"/>
      <c r="HG8" s="504"/>
      <c r="HH8" s="504"/>
      <c r="HI8" s="504"/>
      <c r="HJ8" s="504"/>
      <c r="HK8" s="504"/>
      <c r="HL8" s="504"/>
      <c r="HM8" s="504"/>
      <c r="HN8" s="504"/>
      <c r="HO8" s="504"/>
      <c r="HP8" s="504"/>
      <c r="HQ8" s="504"/>
    </row>
    <row r="9" spans="1:225" ht="14.4" x14ac:dyDescent="0.3">
      <c r="A9" s="235" t="s">
        <v>839</v>
      </c>
      <c r="B9" s="818">
        <v>36.771000000000001</v>
      </c>
      <c r="C9" s="819">
        <f t="shared" si="0"/>
        <v>8.9810223969909373</v>
      </c>
      <c r="D9" s="818">
        <v>45.872999999999998</v>
      </c>
      <c r="E9" s="819">
        <f t="shared" si="0"/>
        <v>9.8007293983425114</v>
      </c>
      <c r="F9" s="818">
        <v>56.9</v>
      </c>
      <c r="G9" s="819">
        <f t="shared" ref="G9" si="4">IF(F$13&lt;&gt;0,F9*100/F$13,"-")</f>
        <v>11.750735711704269</v>
      </c>
      <c r="H9" s="817">
        <f t="shared" si="2"/>
        <v>124.03810520349661</v>
      </c>
      <c r="I9" s="504" t="s">
        <v>658</v>
      </c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504"/>
      <c r="AL9" s="504"/>
      <c r="AM9" s="504"/>
      <c r="AN9" s="504"/>
      <c r="AO9" s="504"/>
      <c r="AP9" s="504"/>
      <c r="AQ9" s="504"/>
      <c r="AR9" s="504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4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 s="504"/>
      <c r="FS9" s="504"/>
      <c r="FT9" s="504"/>
      <c r="FU9" s="504"/>
      <c r="FV9" s="504"/>
      <c r="FW9" s="504"/>
      <c r="FX9" s="504"/>
      <c r="FY9" s="504"/>
      <c r="FZ9" s="504"/>
      <c r="GA9" s="504"/>
      <c r="GB9" s="504"/>
      <c r="GC9" s="504"/>
      <c r="GD9" s="504"/>
      <c r="GE9" s="504"/>
      <c r="GF9" s="504"/>
      <c r="GG9" s="504"/>
      <c r="GH9" s="504"/>
      <c r="GI9" s="504"/>
      <c r="GJ9" s="504"/>
      <c r="GK9" s="504"/>
      <c r="GL9" s="504"/>
      <c r="GM9" s="504"/>
      <c r="GN9" s="504"/>
      <c r="GO9" s="504"/>
      <c r="GP9" s="504"/>
      <c r="GQ9" s="504"/>
      <c r="GR9" s="504"/>
      <c r="GS9" s="504"/>
      <c r="GT9" s="504"/>
      <c r="GU9" s="504"/>
      <c r="GV9" s="504"/>
      <c r="GW9" s="504"/>
      <c r="GX9" s="504"/>
      <c r="GY9" s="504"/>
      <c r="GZ9" s="504"/>
      <c r="HA9" s="504"/>
      <c r="HB9" s="504"/>
      <c r="HC9" s="504"/>
      <c r="HD9" s="504"/>
      <c r="HE9" s="504"/>
      <c r="HF9" s="504"/>
      <c r="HG9" s="504"/>
      <c r="HH9" s="504"/>
      <c r="HI9" s="504"/>
      <c r="HJ9" s="504"/>
      <c r="HK9" s="504"/>
      <c r="HL9" s="504"/>
      <c r="HM9" s="504"/>
      <c r="HN9" s="504"/>
      <c r="HO9" s="504"/>
      <c r="HP9" s="504"/>
      <c r="HQ9" s="504"/>
    </row>
    <row r="10" spans="1:225" ht="14.4" x14ac:dyDescent="0.3">
      <c r="A10" s="235" t="s">
        <v>840</v>
      </c>
      <c r="B10" s="818">
        <v>0</v>
      </c>
      <c r="C10" s="819">
        <f t="shared" si="0"/>
        <v>0</v>
      </c>
      <c r="D10" s="818">
        <v>0</v>
      </c>
      <c r="E10" s="819">
        <f t="shared" si="0"/>
        <v>0</v>
      </c>
      <c r="F10" s="818">
        <v>0</v>
      </c>
      <c r="G10" s="819">
        <f t="shared" ref="G10" si="5">IF(F$13&lt;&gt;0,F10*100/F$13,"-")</f>
        <v>0</v>
      </c>
      <c r="H10" s="817" t="str">
        <f t="shared" si="2"/>
        <v>-</v>
      </c>
      <c r="I10" s="504" t="s">
        <v>659</v>
      </c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504"/>
      <c r="AL10" s="504"/>
      <c r="AM10" s="504"/>
      <c r="AN10" s="504"/>
      <c r="AO10" s="504"/>
      <c r="AP10" s="504"/>
      <c r="AQ10" s="504"/>
      <c r="AR10" s="504"/>
      <c r="AS10" s="504"/>
      <c r="AT10" s="504"/>
      <c r="AU10" s="504"/>
      <c r="AV10" s="504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</row>
    <row r="11" spans="1:225" ht="14.4" x14ac:dyDescent="0.3">
      <c r="A11" s="235" t="s">
        <v>841</v>
      </c>
      <c r="B11" s="818">
        <v>7.6999999999999999E-2</v>
      </c>
      <c r="C11" s="819">
        <f t="shared" si="0"/>
        <v>1.8806633612583345E-2</v>
      </c>
      <c r="D11" s="818">
        <v>3.1E-2</v>
      </c>
      <c r="E11" s="819">
        <f t="shared" si="0"/>
        <v>6.623124961276085E-3</v>
      </c>
      <c r="F11" s="818">
        <v>5.7000000000000002E-2</v>
      </c>
      <c r="G11" s="819">
        <f t="shared" ref="G11" si="6">IF(F$13&lt;&gt;0,F11*100/F$13,"-")</f>
        <v>1.1771387268315349E-2</v>
      </c>
      <c r="H11" s="817">
        <f t="shared" si="2"/>
        <v>183.87096774193549</v>
      </c>
      <c r="I11" s="505" t="s">
        <v>660</v>
      </c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4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504"/>
      <c r="FS11" s="504"/>
      <c r="FT11" s="504"/>
      <c r="FU11" s="504"/>
      <c r="FV11" s="504"/>
      <c r="FW11" s="504"/>
      <c r="FX11" s="504"/>
      <c r="FY11" s="504"/>
      <c r="FZ11" s="504"/>
      <c r="GA11" s="504"/>
      <c r="GB11" s="504"/>
      <c r="GC11" s="504"/>
      <c r="GD11" s="504"/>
      <c r="GE11" s="504"/>
      <c r="GF11" s="504"/>
      <c r="GG11" s="504"/>
      <c r="GH11" s="504"/>
      <c r="GI11" s="504"/>
      <c r="GJ11" s="504"/>
      <c r="GK11" s="504"/>
      <c r="GL11" s="504"/>
      <c r="GM11" s="504"/>
      <c r="GN11" s="504"/>
      <c r="GO11" s="504"/>
      <c r="GP11" s="504"/>
      <c r="GQ11" s="504"/>
      <c r="GR11" s="504"/>
      <c r="GS11" s="504"/>
      <c r="GT11" s="504"/>
      <c r="GU11" s="504"/>
      <c r="GV11" s="504"/>
      <c r="GW11" s="504"/>
      <c r="GX11" s="504"/>
      <c r="GY11" s="504"/>
      <c r="GZ11" s="504"/>
      <c r="HA11" s="504"/>
      <c r="HB11" s="504"/>
      <c r="HC11" s="504"/>
      <c r="HD11" s="504"/>
      <c r="HE11" s="504"/>
      <c r="HF11" s="504"/>
      <c r="HG11" s="504"/>
      <c r="HH11" s="504"/>
      <c r="HI11" s="504"/>
      <c r="HJ11" s="504"/>
      <c r="HK11" s="504"/>
      <c r="HL11" s="504"/>
      <c r="HM11" s="504"/>
      <c r="HN11" s="504"/>
      <c r="HO11" s="504"/>
      <c r="HP11" s="504"/>
      <c r="HQ11" s="504"/>
    </row>
    <row r="12" spans="1:225" ht="14.4" x14ac:dyDescent="0.3">
      <c r="A12" s="235" t="s">
        <v>842</v>
      </c>
      <c r="B12" s="818">
        <v>30.62</v>
      </c>
      <c r="C12" s="819">
        <f t="shared" si="0"/>
        <v>7.4786898859389872</v>
      </c>
      <c r="D12" s="818">
        <v>30.638000000000002</v>
      </c>
      <c r="E12" s="819">
        <f t="shared" si="0"/>
        <v>6.5457839536637641</v>
      </c>
      <c r="F12" s="818">
        <v>24.766999999999999</v>
      </c>
      <c r="G12" s="819">
        <f t="shared" ref="G12" si="7">IF(F$13&lt;&gt;0,F12*100/F$13,"-")</f>
        <v>5.1147710258660739</v>
      </c>
      <c r="H12" s="817">
        <f t="shared" si="2"/>
        <v>80.837522031464189</v>
      </c>
      <c r="I12" s="504" t="s">
        <v>661</v>
      </c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4"/>
      <c r="AF12" s="504"/>
      <c r="AG12" s="504"/>
      <c r="AH12" s="504"/>
      <c r="AI12" s="504"/>
      <c r="AJ12" s="504"/>
      <c r="AK12" s="504"/>
      <c r="AL12" s="504"/>
      <c r="AM12" s="504"/>
      <c r="AN12" s="504"/>
      <c r="AO12" s="504"/>
      <c r="AP12" s="504"/>
      <c r="AQ12" s="504"/>
      <c r="AR12" s="504"/>
      <c r="AS12" s="504"/>
      <c r="AT12" s="504"/>
      <c r="AU12" s="504"/>
      <c r="AV12" s="504"/>
      <c r="AW12" s="504"/>
      <c r="AX12" s="504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4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504"/>
      <c r="FS12" s="504"/>
      <c r="FT12" s="504"/>
      <c r="FU12" s="504"/>
      <c r="FV12" s="504"/>
      <c r="FW12" s="504"/>
      <c r="FX12" s="504"/>
      <c r="FY12" s="504"/>
      <c r="FZ12" s="504"/>
      <c r="GA12" s="504"/>
      <c r="GB12" s="504"/>
      <c r="GC12" s="504"/>
      <c r="GD12" s="504"/>
      <c r="GE12" s="504"/>
      <c r="GF12" s="504"/>
      <c r="GG12" s="504"/>
      <c r="GH12" s="504"/>
      <c r="GI12" s="504"/>
      <c r="GJ12" s="504"/>
      <c r="GK12" s="504"/>
      <c r="GL12" s="504"/>
      <c r="GM12" s="504"/>
      <c r="GN12" s="504"/>
      <c r="GO12" s="504"/>
      <c r="GP12" s="504"/>
      <c r="GQ12" s="504"/>
      <c r="GR12" s="504"/>
      <c r="GS12" s="504"/>
      <c r="GT12" s="504"/>
      <c r="GU12" s="504"/>
      <c r="GV12" s="504"/>
      <c r="GW12" s="504"/>
      <c r="GX12" s="504"/>
      <c r="GY12" s="504"/>
      <c r="GZ12" s="504"/>
      <c r="HA12" s="504"/>
      <c r="HB12" s="504"/>
      <c r="HC12" s="504"/>
      <c r="HD12" s="504"/>
      <c r="HE12" s="504"/>
      <c r="HF12" s="504"/>
      <c r="HG12" s="504"/>
      <c r="HH12" s="504"/>
      <c r="HI12" s="504"/>
      <c r="HJ12" s="504"/>
      <c r="HK12" s="504"/>
      <c r="HL12" s="504"/>
      <c r="HM12" s="504"/>
      <c r="HN12" s="504"/>
      <c r="HO12" s="504"/>
      <c r="HP12" s="504"/>
      <c r="HQ12" s="504"/>
    </row>
    <row r="13" spans="1:225" ht="14.4" x14ac:dyDescent="0.3">
      <c r="A13" s="506" t="s">
        <v>843</v>
      </c>
      <c r="B13" s="820">
        <f t="shared" ref="B13:G13" si="8">SUM(B6:B12)</f>
        <v>409.43000000000006</v>
      </c>
      <c r="C13" s="821">
        <f t="shared" si="8"/>
        <v>100</v>
      </c>
      <c r="D13" s="820">
        <f t="shared" si="8"/>
        <v>468.05699999999996</v>
      </c>
      <c r="E13" s="821">
        <f t="shared" si="8"/>
        <v>100.00000000000001</v>
      </c>
      <c r="F13" s="820">
        <f t="shared" si="8"/>
        <v>484.22500000000002</v>
      </c>
      <c r="G13" s="821">
        <f t="shared" si="8"/>
        <v>100</v>
      </c>
      <c r="H13" s="817">
        <f t="shared" si="2"/>
        <v>103.45428014109393</v>
      </c>
      <c r="I13" s="507" t="s">
        <v>662</v>
      </c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504"/>
      <c r="AL13" s="504"/>
      <c r="AM13" s="504"/>
      <c r="AN13" s="504"/>
      <c r="AO13" s="504"/>
      <c r="AP13" s="504"/>
      <c r="AQ13" s="504"/>
      <c r="AR13" s="504"/>
      <c r="AS13" s="504"/>
      <c r="AT13" s="504"/>
      <c r="AU13" s="504"/>
      <c r="AV13" s="504"/>
      <c r="AW13" s="504"/>
      <c r="AX13" s="504"/>
      <c r="AY13" s="504"/>
      <c r="AZ13" s="504"/>
      <c r="BA13" s="504"/>
      <c r="BB13" s="504"/>
      <c r="BC13" s="504"/>
      <c r="BD13" s="504"/>
      <c r="BE13" s="504"/>
      <c r="BF13" s="504"/>
      <c r="BG13" s="504"/>
      <c r="BH13" s="504"/>
      <c r="BI13" s="504"/>
      <c r="BJ13" s="504"/>
      <c r="BK13" s="504"/>
      <c r="BL13" s="504"/>
      <c r="BM13" s="504"/>
      <c r="BN13" s="504"/>
      <c r="BO13" s="504"/>
      <c r="BP13" s="504"/>
      <c r="BQ13" s="504"/>
      <c r="BR13" s="504"/>
      <c r="BS13" s="504"/>
      <c r="BT13" s="504"/>
      <c r="BU13" s="504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504"/>
      <c r="FS13" s="504"/>
      <c r="FT13" s="504"/>
      <c r="FU13" s="504"/>
      <c r="FV13" s="504"/>
      <c r="FW13" s="504"/>
      <c r="FX13" s="504"/>
      <c r="FY13" s="504"/>
      <c r="FZ13" s="504"/>
      <c r="GA13" s="504"/>
      <c r="GB13" s="504"/>
      <c r="GC13" s="504"/>
      <c r="GD13" s="504"/>
      <c r="GE13" s="504"/>
      <c r="GF13" s="504"/>
      <c r="GG13" s="504"/>
      <c r="GH13" s="504"/>
      <c r="GI13" s="504"/>
      <c r="GJ13" s="504"/>
      <c r="GK13" s="504"/>
      <c r="GL13" s="504"/>
      <c r="GM13" s="504"/>
      <c r="GN13" s="504"/>
      <c r="GO13" s="504"/>
      <c r="GP13" s="504"/>
      <c r="GQ13" s="504"/>
      <c r="GR13" s="504"/>
      <c r="GS13" s="504"/>
      <c r="GT13" s="504"/>
      <c r="GU13" s="504"/>
      <c r="GV13" s="504"/>
      <c r="GW13" s="504"/>
      <c r="GX13" s="504"/>
      <c r="GY13" s="504"/>
      <c r="GZ13" s="504"/>
      <c r="HA13" s="504"/>
      <c r="HB13" s="504"/>
      <c r="HC13" s="504"/>
      <c r="HD13" s="504"/>
      <c r="HE13" s="504"/>
      <c r="HF13" s="504"/>
      <c r="HG13" s="504"/>
      <c r="HH13" s="504"/>
      <c r="HI13" s="504"/>
      <c r="HJ13" s="504"/>
      <c r="HK13" s="504"/>
      <c r="HL13" s="504"/>
      <c r="HM13" s="504"/>
      <c r="HN13" s="504"/>
      <c r="HO13" s="504"/>
      <c r="HP13" s="504"/>
      <c r="HQ13" s="504"/>
    </row>
    <row r="14" spans="1:225" ht="14.4" x14ac:dyDescent="0.3">
      <c r="A14" s="235" t="s">
        <v>844</v>
      </c>
      <c r="B14" s="818"/>
      <c r="C14" s="822"/>
      <c r="D14" s="818"/>
      <c r="E14" s="822"/>
      <c r="F14" s="818"/>
      <c r="G14" s="822"/>
      <c r="H14" s="817" t="str">
        <f t="shared" si="2"/>
        <v>-</v>
      </c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  <c r="AE14" s="504"/>
      <c r="AF14" s="504"/>
      <c r="AG14" s="504"/>
      <c r="AH14" s="504"/>
      <c r="AI14" s="504"/>
      <c r="AJ14" s="504"/>
      <c r="AK14" s="504"/>
      <c r="AL14" s="504"/>
      <c r="AM14" s="504"/>
      <c r="AN14" s="504"/>
      <c r="AO14" s="504"/>
      <c r="AP14" s="504"/>
      <c r="AQ14" s="504"/>
      <c r="AR14" s="504"/>
      <c r="AS14" s="504"/>
      <c r="AT14" s="504"/>
      <c r="AU14" s="504"/>
      <c r="AV14" s="504"/>
      <c r="AW14" s="504"/>
      <c r="AX14" s="504"/>
      <c r="AY14" s="504"/>
      <c r="AZ14" s="504"/>
      <c r="BA14" s="504"/>
      <c r="BB14" s="504"/>
      <c r="BC14" s="504"/>
      <c r="BD14" s="504"/>
      <c r="BE14" s="504"/>
      <c r="BF14" s="504"/>
      <c r="BG14" s="504"/>
      <c r="BH14" s="504"/>
      <c r="BI14" s="504"/>
      <c r="BJ14" s="504"/>
      <c r="BK14" s="504"/>
      <c r="BL14" s="504"/>
      <c r="BM14" s="504"/>
      <c r="BN14" s="504"/>
      <c r="BO14" s="504"/>
      <c r="BP14" s="504"/>
      <c r="BQ14" s="504"/>
      <c r="BR14" s="504"/>
      <c r="BS14" s="504"/>
      <c r="BT14" s="504"/>
      <c r="BU14" s="50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 s="504"/>
      <c r="FS14" s="504"/>
      <c r="FT14" s="504"/>
      <c r="FU14" s="504"/>
      <c r="FV14" s="504"/>
      <c r="FW14" s="504"/>
      <c r="FX14" s="504"/>
      <c r="FY14" s="504"/>
      <c r="FZ14" s="504"/>
      <c r="GA14" s="504"/>
      <c r="GB14" s="504"/>
      <c r="GC14" s="504"/>
      <c r="GD14" s="504"/>
      <c r="GE14" s="504"/>
      <c r="GF14" s="504"/>
      <c r="GG14" s="504"/>
      <c r="GH14" s="504"/>
      <c r="GI14" s="504"/>
      <c r="GJ14" s="504"/>
      <c r="GK14" s="504"/>
      <c r="GL14" s="504"/>
      <c r="GM14" s="504"/>
      <c r="GN14" s="504"/>
      <c r="GO14" s="504"/>
      <c r="GP14" s="504"/>
      <c r="GQ14" s="504"/>
      <c r="GR14" s="504"/>
      <c r="GS14" s="504"/>
      <c r="GT14" s="504"/>
      <c r="GU14" s="504"/>
      <c r="GV14" s="504"/>
      <c r="GW14" s="504"/>
      <c r="GX14" s="504"/>
      <c r="GY14" s="504"/>
      <c r="GZ14" s="504"/>
      <c r="HA14" s="504"/>
      <c r="HB14" s="504"/>
      <c r="HC14" s="504"/>
      <c r="HD14" s="504"/>
      <c r="HE14" s="504"/>
      <c r="HF14" s="504"/>
      <c r="HG14" s="504"/>
      <c r="HH14" s="504"/>
      <c r="HI14" s="504"/>
      <c r="HJ14" s="504"/>
      <c r="HK14" s="504"/>
      <c r="HL14" s="504"/>
      <c r="HM14" s="504"/>
      <c r="HN14" s="504"/>
      <c r="HO14" s="504"/>
      <c r="HP14" s="504"/>
      <c r="HQ14" s="504"/>
    </row>
    <row r="15" spans="1:225" ht="14.4" x14ac:dyDescent="0.3">
      <c r="A15" s="235" t="s">
        <v>845</v>
      </c>
      <c r="B15" s="818">
        <v>39.164999999999999</v>
      </c>
      <c r="C15" s="819">
        <f>IF(B$21&lt;&gt;0,B15*100/B$21,"-")</f>
        <v>68.979182077565255</v>
      </c>
      <c r="D15" s="818">
        <v>59.662999999999997</v>
      </c>
      <c r="E15" s="819">
        <f>IF(D$21&lt;&gt;0,D15*100/D$21,"-")</f>
        <v>75.951574712936306</v>
      </c>
      <c r="F15" s="818">
        <v>68.546000000000006</v>
      </c>
      <c r="G15" s="819">
        <f>IF(F$21&lt;&gt;0,F15*100/F$21,"-")</f>
        <v>76.933264495274855</v>
      </c>
      <c r="H15" s="817">
        <f t="shared" si="2"/>
        <v>114.8886244406081</v>
      </c>
      <c r="I15" s="504" t="s">
        <v>663</v>
      </c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  <c r="AL15" s="504"/>
      <c r="AM15" s="504"/>
      <c r="AN15" s="504"/>
      <c r="AO15" s="504"/>
      <c r="AP15" s="504"/>
      <c r="AQ15" s="504"/>
      <c r="AR15" s="504"/>
      <c r="AS15" s="504"/>
      <c r="AT15" s="504"/>
      <c r="AU15" s="504"/>
      <c r="AV15" s="504"/>
      <c r="AW15" s="504"/>
      <c r="AX15" s="504"/>
      <c r="AY15" s="504"/>
      <c r="AZ15" s="504"/>
      <c r="BA15" s="504"/>
      <c r="BB15" s="504"/>
      <c r="BC15" s="504"/>
      <c r="BD15" s="504"/>
      <c r="BE15" s="504"/>
      <c r="BF15" s="504"/>
      <c r="BG15" s="504"/>
      <c r="BH15" s="504"/>
      <c r="BI15" s="504"/>
      <c r="BJ15" s="504"/>
      <c r="BK15" s="504"/>
      <c r="BL15" s="504"/>
      <c r="BM15" s="504"/>
      <c r="BN15" s="504"/>
      <c r="BO15" s="504"/>
      <c r="BP15" s="504"/>
      <c r="BQ15" s="504"/>
      <c r="BR15" s="504"/>
      <c r="BS15" s="504"/>
      <c r="BT15" s="504"/>
      <c r="BU15" s="504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 s="504"/>
      <c r="FS15" s="504"/>
      <c r="FT15" s="504"/>
      <c r="FU15" s="504"/>
      <c r="FV15" s="504"/>
      <c r="FW15" s="504"/>
      <c r="FX15" s="504"/>
      <c r="FY15" s="504"/>
      <c r="FZ15" s="504"/>
      <c r="GA15" s="504"/>
      <c r="GB15" s="504"/>
      <c r="GC15" s="504"/>
      <c r="GD15" s="504"/>
      <c r="GE15" s="504"/>
      <c r="GF15" s="504"/>
      <c r="GG15" s="504"/>
      <c r="GH15" s="504"/>
      <c r="GI15" s="504"/>
      <c r="GJ15" s="504"/>
      <c r="GK15" s="504"/>
      <c r="GL15" s="504"/>
      <c r="GM15" s="504"/>
      <c r="GN15" s="504"/>
      <c r="GO15" s="504"/>
      <c r="GP15" s="504"/>
      <c r="GQ15" s="504"/>
      <c r="GR15" s="504"/>
      <c r="GS15" s="504"/>
      <c r="GT15" s="504"/>
      <c r="GU15" s="504"/>
      <c r="GV15" s="504"/>
      <c r="GW15" s="504"/>
      <c r="GX15" s="504"/>
      <c r="GY15" s="504"/>
      <c r="GZ15" s="504"/>
      <c r="HA15" s="504"/>
      <c r="HB15" s="504"/>
      <c r="HC15" s="504"/>
      <c r="HD15" s="504"/>
      <c r="HE15" s="504"/>
      <c r="HF15" s="504"/>
      <c r="HG15" s="504"/>
      <c r="HH15" s="504"/>
      <c r="HI15" s="504"/>
      <c r="HJ15" s="504"/>
      <c r="HK15" s="504"/>
      <c r="HL15" s="504"/>
      <c r="HM15" s="504"/>
      <c r="HN15" s="504"/>
      <c r="HO15" s="504"/>
      <c r="HP15" s="504"/>
      <c r="HQ15" s="504"/>
    </row>
    <row r="16" spans="1:225" ht="14.4" x14ac:dyDescent="0.3">
      <c r="A16" s="235" t="s">
        <v>846</v>
      </c>
      <c r="B16" s="818">
        <v>0</v>
      </c>
      <c r="C16" s="819">
        <f t="shared" ref="C16:E20" si="9">IF(B$21&lt;&gt;0,B16*100/B$21,"-")</f>
        <v>0</v>
      </c>
      <c r="D16" s="818">
        <v>0</v>
      </c>
      <c r="E16" s="819">
        <f t="shared" si="9"/>
        <v>0</v>
      </c>
      <c r="F16" s="818">
        <v>0</v>
      </c>
      <c r="G16" s="819">
        <f t="shared" ref="G16" si="10">IF(F$21&lt;&gt;0,F16*100/F$21,"-")</f>
        <v>0</v>
      </c>
      <c r="H16" s="817" t="str">
        <f t="shared" si="2"/>
        <v>-</v>
      </c>
      <c r="I16" s="505" t="s">
        <v>664</v>
      </c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  <c r="AE16" s="504"/>
      <c r="AF16" s="504"/>
      <c r="AG16" s="504"/>
      <c r="AH16" s="504"/>
      <c r="AI16" s="504"/>
      <c r="AJ16" s="504"/>
      <c r="AK16" s="504"/>
      <c r="AL16" s="504"/>
      <c r="AM16" s="504"/>
      <c r="AN16" s="504"/>
      <c r="AO16" s="504"/>
      <c r="AP16" s="504"/>
      <c r="AQ16" s="504"/>
      <c r="AR16" s="504"/>
      <c r="AS16" s="504"/>
      <c r="AT16" s="504"/>
      <c r="AU16" s="504"/>
      <c r="AV16" s="504"/>
      <c r="AW16" s="504"/>
      <c r="AX16" s="504"/>
      <c r="AY16" s="504"/>
      <c r="AZ16" s="504"/>
      <c r="BA16" s="504"/>
      <c r="BB16" s="504"/>
      <c r="BC16" s="504"/>
      <c r="BD16" s="504"/>
      <c r="BE16" s="504"/>
      <c r="BF16" s="504"/>
      <c r="BG16" s="504"/>
      <c r="BH16" s="504"/>
      <c r="BI16" s="504"/>
      <c r="BJ16" s="504"/>
      <c r="BK16" s="504"/>
      <c r="BL16" s="504"/>
      <c r="BM16" s="504"/>
      <c r="BN16" s="504"/>
      <c r="BO16" s="504"/>
      <c r="BP16" s="504"/>
      <c r="BQ16" s="504"/>
      <c r="BR16" s="504"/>
      <c r="BS16" s="504"/>
      <c r="BT16" s="504"/>
      <c r="BU16" s="504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504"/>
      <c r="FS16" s="504"/>
      <c r="FT16" s="504"/>
      <c r="FU16" s="504"/>
      <c r="FV16" s="504"/>
      <c r="FW16" s="504"/>
      <c r="FX16" s="504"/>
      <c r="FY16" s="504"/>
      <c r="FZ16" s="504"/>
      <c r="GA16" s="504"/>
      <c r="GB16" s="504"/>
      <c r="GC16" s="504"/>
      <c r="GD16" s="504"/>
      <c r="GE16" s="504"/>
      <c r="GF16" s="504"/>
      <c r="GG16" s="504"/>
      <c r="GH16" s="504"/>
      <c r="GI16" s="504"/>
      <c r="GJ16" s="504"/>
      <c r="GK16" s="504"/>
      <c r="GL16" s="504"/>
      <c r="GM16" s="504"/>
      <c r="GN16" s="504"/>
      <c r="GO16" s="504"/>
      <c r="GP16" s="504"/>
      <c r="GQ16" s="504"/>
      <c r="GR16" s="504"/>
      <c r="GS16" s="504"/>
      <c r="GT16" s="504"/>
      <c r="GU16" s="504"/>
      <c r="GV16" s="504"/>
      <c r="GW16" s="504"/>
      <c r="GX16" s="504"/>
      <c r="GY16" s="504"/>
      <c r="GZ16" s="504"/>
      <c r="HA16" s="504"/>
      <c r="HB16" s="504"/>
      <c r="HC16" s="504"/>
      <c r="HD16" s="504"/>
      <c r="HE16" s="504"/>
      <c r="HF16" s="504"/>
      <c r="HG16" s="504"/>
      <c r="HH16" s="504"/>
      <c r="HI16" s="504"/>
      <c r="HJ16" s="504"/>
      <c r="HK16" s="504"/>
      <c r="HL16" s="504"/>
      <c r="HM16" s="504"/>
      <c r="HN16" s="504"/>
      <c r="HO16" s="504"/>
      <c r="HP16" s="504"/>
      <c r="HQ16" s="504"/>
    </row>
    <row r="17" spans="1:225" ht="14.4" x14ac:dyDescent="0.3">
      <c r="A17" s="235" t="s">
        <v>847</v>
      </c>
      <c r="B17" s="818">
        <v>0</v>
      </c>
      <c r="C17" s="819">
        <f t="shared" si="9"/>
        <v>0</v>
      </c>
      <c r="D17" s="818">
        <v>0</v>
      </c>
      <c r="E17" s="819">
        <f t="shared" si="9"/>
        <v>0</v>
      </c>
      <c r="F17" s="818">
        <v>0</v>
      </c>
      <c r="G17" s="819">
        <f t="shared" ref="G17" si="11">IF(F$21&lt;&gt;0,F17*100/F$21,"-")</f>
        <v>0</v>
      </c>
      <c r="H17" s="817" t="str">
        <f t="shared" si="2"/>
        <v>-</v>
      </c>
      <c r="I17" s="504" t="s">
        <v>665</v>
      </c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4"/>
      <c r="AF17" s="504"/>
      <c r="AG17" s="504"/>
      <c r="AH17" s="504"/>
      <c r="AI17" s="504"/>
      <c r="AJ17" s="504"/>
      <c r="AK17" s="504"/>
      <c r="AL17" s="504"/>
      <c r="AM17" s="504"/>
      <c r="AN17" s="504"/>
      <c r="AO17" s="504"/>
      <c r="AP17" s="504"/>
      <c r="AQ17" s="504"/>
      <c r="AR17" s="504"/>
      <c r="AS17" s="504"/>
      <c r="AT17" s="504"/>
      <c r="AU17" s="504"/>
      <c r="AV17" s="504"/>
      <c r="AW17" s="504"/>
      <c r="AX17" s="504"/>
      <c r="AY17" s="504"/>
      <c r="AZ17" s="504"/>
      <c r="BA17" s="504"/>
      <c r="BB17" s="504"/>
      <c r="BC17" s="504"/>
      <c r="BD17" s="504"/>
      <c r="BE17" s="504"/>
      <c r="BF17" s="504"/>
      <c r="BG17" s="504"/>
      <c r="BH17" s="504"/>
      <c r="BI17" s="504"/>
      <c r="BJ17" s="504"/>
      <c r="BK17" s="504"/>
      <c r="BL17" s="504"/>
      <c r="BM17" s="504"/>
      <c r="BN17" s="504"/>
      <c r="BO17" s="504"/>
      <c r="BP17" s="504"/>
      <c r="BQ17" s="504"/>
      <c r="BR17" s="504"/>
      <c r="BS17" s="504"/>
      <c r="BT17" s="504"/>
      <c r="BU17" s="504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504"/>
      <c r="FS17" s="504"/>
      <c r="FT17" s="504"/>
      <c r="FU17" s="504"/>
      <c r="FV17" s="504"/>
      <c r="FW17" s="504"/>
      <c r="FX17" s="504"/>
      <c r="FY17" s="504"/>
      <c r="FZ17" s="504"/>
      <c r="GA17" s="504"/>
      <c r="GB17" s="504"/>
      <c r="GC17" s="504"/>
      <c r="GD17" s="504"/>
      <c r="GE17" s="504"/>
      <c r="GF17" s="504"/>
      <c r="GG17" s="504"/>
      <c r="GH17" s="504"/>
      <c r="GI17" s="504"/>
      <c r="GJ17" s="504"/>
      <c r="GK17" s="504"/>
      <c r="GL17" s="504"/>
      <c r="GM17" s="504"/>
      <c r="GN17" s="504"/>
      <c r="GO17" s="504"/>
      <c r="GP17" s="504"/>
      <c r="GQ17" s="504"/>
      <c r="GR17" s="504"/>
      <c r="GS17" s="504"/>
      <c r="GT17" s="504"/>
      <c r="GU17" s="504"/>
      <c r="GV17" s="504"/>
      <c r="GW17" s="504"/>
      <c r="GX17" s="504"/>
      <c r="GY17" s="504"/>
      <c r="GZ17" s="504"/>
      <c r="HA17" s="504"/>
      <c r="HB17" s="504"/>
      <c r="HC17" s="504"/>
      <c r="HD17" s="504"/>
      <c r="HE17" s="504"/>
      <c r="HF17" s="504"/>
      <c r="HG17" s="504"/>
      <c r="HH17" s="504"/>
      <c r="HI17" s="504"/>
      <c r="HJ17" s="504"/>
      <c r="HK17" s="504"/>
      <c r="HL17" s="504"/>
      <c r="HM17" s="504"/>
      <c r="HN17" s="504"/>
      <c r="HO17" s="504"/>
      <c r="HP17" s="504"/>
      <c r="HQ17" s="504"/>
    </row>
    <row r="18" spans="1:225" ht="14.4" x14ac:dyDescent="0.3">
      <c r="A18" s="235" t="s">
        <v>848</v>
      </c>
      <c r="B18" s="818">
        <v>12.034000000000001</v>
      </c>
      <c r="C18" s="819">
        <f t="shared" si="9"/>
        <v>21.194828983056819</v>
      </c>
      <c r="D18" s="818">
        <v>12.099</v>
      </c>
      <c r="E18" s="819">
        <f t="shared" si="9"/>
        <v>15.402143748249612</v>
      </c>
      <c r="F18" s="818">
        <v>11.629</v>
      </c>
      <c r="G18" s="819">
        <f t="shared" ref="G18" si="12">IF(F$21&lt;&gt;0,F18*100/F$21,"-")</f>
        <v>13.051920357359309</v>
      </c>
      <c r="H18" s="817">
        <f t="shared" si="2"/>
        <v>96.115381436482338</v>
      </c>
      <c r="I18" s="504" t="s">
        <v>666</v>
      </c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504"/>
      <c r="AE18" s="504"/>
      <c r="AF18" s="504"/>
      <c r="AG18" s="504"/>
      <c r="AH18" s="504"/>
      <c r="AI18" s="504"/>
      <c r="AJ18" s="504"/>
      <c r="AK18" s="504"/>
      <c r="AL18" s="504"/>
      <c r="AM18" s="504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  <c r="BB18" s="504"/>
      <c r="BC18" s="504"/>
      <c r="BD18" s="504"/>
      <c r="BE18" s="504"/>
      <c r="BF18" s="504"/>
      <c r="BG18" s="504"/>
      <c r="BH18" s="504"/>
      <c r="BI18" s="504"/>
      <c r="BJ18" s="504"/>
      <c r="BK18" s="504"/>
      <c r="BL18" s="504"/>
      <c r="BM18" s="504"/>
      <c r="BN18" s="504"/>
      <c r="BO18" s="504"/>
      <c r="BP18" s="504"/>
      <c r="BQ18" s="504"/>
      <c r="BR18" s="504"/>
      <c r="BS18" s="504"/>
      <c r="BT18" s="504"/>
      <c r="BU18" s="504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504"/>
      <c r="FS18" s="504"/>
      <c r="FT18" s="504"/>
      <c r="FU18" s="504"/>
      <c r="FV18" s="504"/>
      <c r="FW18" s="504"/>
      <c r="FX18" s="504"/>
      <c r="FY18" s="504"/>
      <c r="FZ18" s="504"/>
      <c r="GA18" s="504"/>
      <c r="GB18" s="504"/>
      <c r="GC18" s="504"/>
      <c r="GD18" s="504"/>
      <c r="GE18" s="504"/>
      <c r="GF18" s="504"/>
      <c r="GG18" s="504"/>
      <c r="GH18" s="504"/>
      <c r="GI18" s="504"/>
      <c r="GJ18" s="504"/>
      <c r="GK18" s="504"/>
      <c r="GL18" s="504"/>
      <c r="GM18" s="504"/>
      <c r="GN18" s="504"/>
      <c r="GO18" s="504"/>
      <c r="GP18" s="504"/>
      <c r="GQ18" s="504"/>
      <c r="GR18" s="504"/>
      <c r="GS18" s="504"/>
      <c r="GT18" s="504"/>
      <c r="GU18" s="504"/>
      <c r="GV18" s="504"/>
      <c r="GW18" s="504"/>
      <c r="GX18" s="504"/>
      <c r="GY18" s="504"/>
      <c r="GZ18" s="504"/>
      <c r="HA18" s="504"/>
      <c r="HB18" s="504"/>
      <c r="HC18" s="504"/>
      <c r="HD18" s="504"/>
      <c r="HE18" s="504"/>
      <c r="HF18" s="504"/>
      <c r="HG18" s="504"/>
      <c r="HH18" s="504"/>
      <c r="HI18" s="504"/>
      <c r="HJ18" s="504"/>
      <c r="HK18" s="504"/>
      <c r="HL18" s="504"/>
      <c r="HM18" s="504"/>
      <c r="HN18" s="504"/>
      <c r="HO18" s="504"/>
      <c r="HP18" s="504"/>
      <c r="HQ18" s="504"/>
    </row>
    <row r="19" spans="1:225" ht="14.4" x14ac:dyDescent="0.3">
      <c r="A19" s="235" t="s">
        <v>849</v>
      </c>
      <c r="B19" s="818">
        <v>3.4740000000000002</v>
      </c>
      <c r="C19" s="819">
        <f t="shared" si="9"/>
        <v>6.1185670506181982</v>
      </c>
      <c r="D19" s="818">
        <v>4.8680000000000003</v>
      </c>
      <c r="E19" s="819">
        <f t="shared" si="9"/>
        <v>6.1970109733431782</v>
      </c>
      <c r="F19" s="818">
        <v>6.42</v>
      </c>
      <c r="G19" s="819">
        <f t="shared" ref="G19" si="13">IF(F$21&lt;&gt;0,F19*100/F$21,"-")</f>
        <v>7.2055489461042885</v>
      </c>
      <c r="H19" s="817">
        <f t="shared" si="2"/>
        <v>131.88167625308134</v>
      </c>
      <c r="I19" s="505" t="s">
        <v>667</v>
      </c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504"/>
      <c r="U19" s="504"/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504"/>
      <c r="BB19" s="504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  <c r="BO19" s="504"/>
      <c r="BP19" s="504"/>
      <c r="BQ19" s="504"/>
      <c r="BR19" s="504"/>
      <c r="BS19" s="504"/>
      <c r="BT19" s="504"/>
      <c r="BU19" s="504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504"/>
      <c r="FS19" s="504"/>
      <c r="FT19" s="504"/>
      <c r="FU19" s="504"/>
      <c r="FV19" s="504"/>
      <c r="FW19" s="504"/>
      <c r="FX19" s="504"/>
      <c r="FY19" s="504"/>
      <c r="FZ19" s="504"/>
      <c r="GA19" s="504"/>
      <c r="GB19" s="504"/>
      <c r="GC19" s="504"/>
      <c r="GD19" s="504"/>
      <c r="GE19" s="504"/>
      <c r="GF19" s="504"/>
      <c r="GG19" s="504"/>
      <c r="GH19" s="504"/>
      <c r="GI19" s="504"/>
      <c r="GJ19" s="504"/>
      <c r="GK19" s="504"/>
      <c r="GL19" s="504"/>
      <c r="GM19" s="504"/>
      <c r="GN19" s="504"/>
      <c r="GO19" s="504"/>
      <c r="GP19" s="504"/>
      <c r="GQ19" s="504"/>
      <c r="GR19" s="504"/>
      <c r="GS19" s="504"/>
      <c r="GT19" s="504"/>
      <c r="GU19" s="504"/>
      <c r="GV19" s="504"/>
      <c r="GW19" s="504"/>
      <c r="GX19" s="504"/>
      <c r="GY19" s="504"/>
      <c r="GZ19" s="504"/>
      <c r="HA19" s="504"/>
      <c r="HB19" s="504"/>
      <c r="HC19" s="504"/>
      <c r="HD19" s="504"/>
      <c r="HE19" s="504"/>
      <c r="HF19" s="504"/>
      <c r="HG19" s="504"/>
      <c r="HH19" s="504"/>
      <c r="HI19" s="504"/>
      <c r="HJ19" s="504"/>
      <c r="HK19" s="504"/>
      <c r="HL19" s="504"/>
      <c r="HM19" s="504"/>
      <c r="HN19" s="504"/>
      <c r="HO19" s="504"/>
      <c r="HP19" s="504"/>
      <c r="HQ19" s="504"/>
    </row>
    <row r="20" spans="1:225" ht="14.4" x14ac:dyDescent="0.3">
      <c r="A20" s="235" t="s">
        <v>850</v>
      </c>
      <c r="B20" s="818">
        <v>2.105</v>
      </c>
      <c r="C20" s="819">
        <f t="shared" si="9"/>
        <v>3.7074218887597308</v>
      </c>
      <c r="D20" s="818">
        <v>1.9239999999999999</v>
      </c>
      <c r="E20" s="819">
        <f t="shared" si="9"/>
        <v>2.4492705654708864</v>
      </c>
      <c r="F20" s="818">
        <v>2.5030000000000001</v>
      </c>
      <c r="G20" s="819">
        <f t="shared" ref="G20" si="14">IF(F$21&lt;&gt;0,F20*100/F$21,"-")</f>
        <v>2.8092662012615319</v>
      </c>
      <c r="H20" s="817">
        <f t="shared" si="2"/>
        <v>130.0935550935551</v>
      </c>
      <c r="I20" s="504" t="s">
        <v>668</v>
      </c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504"/>
      <c r="U20" s="504"/>
      <c r="V20" s="504"/>
      <c r="W20" s="504"/>
      <c r="X20" s="504"/>
      <c r="Y20" s="504"/>
      <c r="Z20" s="504"/>
      <c r="AA20" s="504"/>
      <c r="AB20" s="504"/>
      <c r="AC20" s="504"/>
      <c r="AD20" s="504"/>
      <c r="AE20" s="504"/>
      <c r="AF20" s="504"/>
      <c r="AG20" s="504"/>
      <c r="AH20" s="504"/>
      <c r="AI20" s="504"/>
      <c r="AJ20" s="504"/>
      <c r="AK20" s="504"/>
      <c r="AL20" s="504"/>
      <c r="AM20" s="504"/>
      <c r="AN20" s="504"/>
      <c r="AO20" s="504"/>
      <c r="AP20" s="504"/>
      <c r="AQ20" s="504"/>
      <c r="AR20" s="504"/>
      <c r="AS20" s="504"/>
      <c r="AT20" s="504"/>
      <c r="AU20" s="504"/>
      <c r="AV20" s="504"/>
      <c r="AW20" s="504"/>
      <c r="AX20" s="504"/>
      <c r="AY20" s="504"/>
      <c r="AZ20" s="504"/>
      <c r="BA20" s="504"/>
      <c r="BB20" s="504"/>
      <c r="BC20" s="504"/>
      <c r="BD20" s="504"/>
      <c r="BE20" s="504"/>
      <c r="BF20" s="504"/>
      <c r="BG20" s="504"/>
      <c r="BH20" s="504"/>
      <c r="BI20" s="504"/>
      <c r="BJ20" s="504"/>
      <c r="BK20" s="504"/>
      <c r="BL20" s="504"/>
      <c r="BM20" s="504"/>
      <c r="BN20" s="504"/>
      <c r="BO20" s="504"/>
      <c r="BP20" s="504"/>
      <c r="BQ20" s="504"/>
      <c r="BR20" s="504"/>
      <c r="BS20" s="504"/>
      <c r="BT20" s="504"/>
      <c r="BU20" s="504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 s="504"/>
      <c r="FS20" s="504"/>
      <c r="FT20" s="504"/>
      <c r="FU20" s="504"/>
      <c r="FV20" s="504"/>
      <c r="FW20" s="504"/>
      <c r="FX20" s="504"/>
      <c r="FY20" s="504"/>
      <c r="FZ20" s="504"/>
      <c r="GA20" s="504"/>
      <c r="GB20" s="504"/>
      <c r="GC20" s="504"/>
      <c r="GD20" s="504"/>
      <c r="GE20" s="504"/>
      <c r="GF20" s="504"/>
      <c r="GG20" s="504"/>
      <c r="GH20" s="504"/>
      <c r="GI20" s="504"/>
      <c r="GJ20" s="504"/>
      <c r="GK20" s="504"/>
      <c r="GL20" s="504"/>
      <c r="GM20" s="504"/>
      <c r="GN20" s="504"/>
      <c r="GO20" s="504"/>
      <c r="GP20" s="504"/>
      <c r="GQ20" s="504"/>
      <c r="GR20" s="504"/>
      <c r="GS20" s="504"/>
      <c r="GT20" s="504"/>
      <c r="GU20" s="504"/>
      <c r="GV20" s="504"/>
      <c r="GW20" s="504"/>
      <c r="GX20" s="504"/>
      <c r="GY20" s="504"/>
      <c r="GZ20" s="504"/>
      <c r="HA20" s="504"/>
      <c r="HB20" s="504"/>
      <c r="HC20" s="504"/>
      <c r="HD20" s="504"/>
      <c r="HE20" s="504"/>
      <c r="HF20" s="504"/>
      <c r="HG20" s="504"/>
      <c r="HH20" s="504"/>
      <c r="HI20" s="504"/>
      <c r="HJ20" s="504"/>
      <c r="HK20" s="504"/>
      <c r="HL20" s="504"/>
      <c r="HM20" s="504"/>
      <c r="HN20" s="504"/>
      <c r="HO20" s="504"/>
      <c r="HP20" s="504"/>
      <c r="HQ20" s="504"/>
    </row>
    <row r="21" spans="1:225" ht="14.4" x14ac:dyDescent="0.3">
      <c r="A21" s="506" t="s">
        <v>851</v>
      </c>
      <c r="B21" s="820">
        <f t="shared" ref="B21:G21" si="15">SUM(B15:B20)</f>
        <v>56.777999999999999</v>
      </c>
      <c r="C21" s="821">
        <f t="shared" si="15"/>
        <v>100</v>
      </c>
      <c r="D21" s="820">
        <f t="shared" si="15"/>
        <v>78.554000000000002</v>
      </c>
      <c r="E21" s="821">
        <f t="shared" si="15"/>
        <v>99.999999999999986</v>
      </c>
      <c r="F21" s="820">
        <f t="shared" si="15"/>
        <v>89.098000000000013</v>
      </c>
      <c r="G21" s="821">
        <f t="shared" si="15"/>
        <v>99.999999999999986</v>
      </c>
      <c r="H21" s="817">
        <f t="shared" si="2"/>
        <v>113.42261374341219</v>
      </c>
      <c r="I21" s="507" t="s">
        <v>669</v>
      </c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504"/>
      <c r="AE21" s="504"/>
      <c r="AF21" s="504"/>
      <c r="AG21" s="504"/>
      <c r="AH21" s="504"/>
      <c r="AI21" s="504"/>
      <c r="AJ21" s="504"/>
      <c r="AK21" s="504"/>
      <c r="AL21" s="504"/>
      <c r="AM21" s="504"/>
      <c r="AN21" s="504"/>
      <c r="AO21" s="504"/>
      <c r="AP21" s="504"/>
      <c r="AQ21" s="504"/>
      <c r="AR21" s="504"/>
      <c r="AS21" s="504"/>
      <c r="AT21" s="504"/>
      <c r="AU21" s="504"/>
      <c r="AV21" s="504"/>
      <c r="AW21" s="504"/>
      <c r="AX21" s="504"/>
      <c r="AY21" s="504"/>
      <c r="AZ21" s="504"/>
      <c r="BA21" s="504"/>
      <c r="BB21" s="504"/>
      <c r="BC21" s="504"/>
      <c r="BD21" s="504"/>
      <c r="BE21" s="504"/>
      <c r="BF21" s="504"/>
      <c r="BG21" s="504"/>
      <c r="BH21" s="504"/>
      <c r="BI21" s="504"/>
      <c r="BJ21" s="504"/>
      <c r="BK21" s="504"/>
      <c r="BL21" s="504"/>
      <c r="BM21" s="504"/>
      <c r="BN21" s="504"/>
      <c r="BO21" s="504"/>
      <c r="BP21" s="504"/>
      <c r="BQ21" s="504"/>
      <c r="BR21" s="504"/>
      <c r="BS21" s="504"/>
      <c r="BT21" s="504"/>
      <c r="BU21" s="504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 s="504"/>
      <c r="FS21" s="504"/>
      <c r="FT21" s="504"/>
      <c r="FU21" s="504"/>
      <c r="FV21" s="504"/>
      <c r="FW21" s="504"/>
      <c r="FX21" s="504"/>
      <c r="FY21" s="504"/>
      <c r="FZ21" s="504"/>
      <c r="GA21" s="504"/>
      <c r="GB21" s="504"/>
      <c r="GC21" s="504"/>
      <c r="GD21" s="504"/>
      <c r="GE21" s="504"/>
      <c r="GF21" s="504"/>
      <c r="GG21" s="504"/>
      <c r="GH21" s="504"/>
      <c r="GI21" s="504"/>
      <c r="GJ21" s="504"/>
      <c r="GK21" s="504"/>
      <c r="GL21" s="504"/>
      <c r="GM21" s="504"/>
      <c r="GN21" s="504"/>
      <c r="GO21" s="504"/>
      <c r="GP21" s="504"/>
      <c r="GQ21" s="504"/>
      <c r="GR21" s="504"/>
      <c r="GS21" s="504"/>
      <c r="GT21" s="504"/>
      <c r="GU21" s="504"/>
      <c r="GV21" s="504"/>
      <c r="GW21" s="504"/>
      <c r="GX21" s="504"/>
      <c r="GY21" s="504"/>
      <c r="GZ21" s="504"/>
      <c r="HA21" s="504"/>
      <c r="HB21" s="504"/>
      <c r="HC21" s="504"/>
      <c r="HD21" s="504"/>
      <c r="HE21" s="504"/>
      <c r="HF21" s="504"/>
      <c r="HG21" s="504"/>
      <c r="HH21" s="504"/>
      <c r="HI21" s="504"/>
      <c r="HJ21" s="504"/>
      <c r="HK21" s="504"/>
      <c r="HL21" s="504"/>
      <c r="HM21" s="504"/>
      <c r="HN21" s="504"/>
      <c r="HO21" s="504"/>
      <c r="HP21" s="504"/>
      <c r="HQ21" s="504"/>
    </row>
    <row r="22" spans="1:225" ht="14.4" x14ac:dyDescent="0.3">
      <c r="A22" s="506" t="s">
        <v>852</v>
      </c>
      <c r="B22" s="820">
        <f>+B13-B21</f>
        <v>352.65200000000004</v>
      </c>
      <c r="C22" s="823"/>
      <c r="D22" s="820">
        <f>+D13-D21</f>
        <v>389.50299999999993</v>
      </c>
      <c r="E22" s="823"/>
      <c r="F22" s="820">
        <f>+F13-F21</f>
        <v>395.12700000000001</v>
      </c>
      <c r="G22" s="823"/>
      <c r="H22" s="817">
        <f t="shared" si="2"/>
        <v>101.44389131791029</v>
      </c>
      <c r="I22" s="507" t="s">
        <v>141</v>
      </c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504"/>
      <c r="U22" s="504"/>
      <c r="V22" s="504"/>
      <c r="W22" s="504"/>
      <c r="X22" s="504"/>
      <c r="Y22" s="504"/>
      <c r="Z22" s="504"/>
      <c r="AA22" s="504"/>
      <c r="AB22" s="504"/>
      <c r="AC22" s="504"/>
      <c r="AD22" s="504"/>
      <c r="AE22" s="504"/>
      <c r="AF22" s="504"/>
      <c r="AG22" s="504"/>
      <c r="AH22" s="504"/>
      <c r="AI22" s="504"/>
      <c r="AJ22" s="504"/>
      <c r="AK22" s="504"/>
      <c r="AL22" s="504"/>
      <c r="AM22" s="504"/>
      <c r="AN22" s="504"/>
      <c r="AO22" s="504"/>
      <c r="AP22" s="504"/>
      <c r="AQ22" s="504"/>
      <c r="AR22" s="504"/>
      <c r="AS22" s="504"/>
      <c r="AT22" s="504"/>
      <c r="AU22" s="504"/>
      <c r="AV22" s="504"/>
      <c r="AW22" s="504"/>
      <c r="AX22" s="504"/>
      <c r="AY22" s="504"/>
      <c r="AZ22" s="504"/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504"/>
      <c r="BQ22" s="504"/>
      <c r="BR22" s="504"/>
      <c r="BS22" s="504"/>
      <c r="BT22" s="504"/>
      <c r="BU22" s="504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504"/>
      <c r="FS22" s="504"/>
      <c r="FT22" s="504"/>
      <c r="FU22" s="504"/>
      <c r="FV22" s="504"/>
      <c r="FW22" s="504"/>
      <c r="FX22" s="504"/>
      <c r="FY22" s="504"/>
      <c r="FZ22" s="504"/>
      <c r="GA22" s="504"/>
      <c r="GB22" s="504"/>
      <c r="GC22" s="504"/>
      <c r="GD22" s="504"/>
      <c r="GE22" s="504"/>
      <c r="GF22" s="504"/>
      <c r="GG22" s="504"/>
      <c r="GH22" s="504"/>
      <c r="GI22" s="504"/>
      <c r="GJ22" s="504"/>
      <c r="GK22" s="504"/>
      <c r="GL22" s="504"/>
      <c r="GM22" s="504"/>
      <c r="GN22" s="504"/>
      <c r="GO22" s="504"/>
      <c r="GP22" s="504"/>
      <c r="GQ22" s="504"/>
      <c r="GR22" s="504"/>
      <c r="GS22" s="504"/>
      <c r="GT22" s="504"/>
      <c r="GU22" s="504"/>
      <c r="GV22" s="504"/>
      <c r="GW22" s="504"/>
      <c r="GX22" s="504"/>
      <c r="GY22" s="504"/>
      <c r="GZ22" s="504"/>
      <c r="HA22" s="504"/>
      <c r="HB22" s="504"/>
      <c r="HC22" s="504"/>
      <c r="HD22" s="504"/>
      <c r="HE22" s="504"/>
      <c r="HF22" s="504"/>
      <c r="HG22" s="504"/>
      <c r="HH22" s="504"/>
      <c r="HI22" s="504"/>
      <c r="HJ22" s="504"/>
      <c r="HK22" s="504"/>
      <c r="HL22" s="504"/>
      <c r="HM22" s="504"/>
      <c r="HN22" s="504"/>
      <c r="HO22" s="504"/>
      <c r="HP22" s="504"/>
      <c r="HQ22" s="504"/>
    </row>
    <row r="23" spans="1:225" ht="14.4" x14ac:dyDescent="0.3">
      <c r="A23" s="506" t="s">
        <v>853</v>
      </c>
      <c r="B23" s="818"/>
      <c r="C23" s="822"/>
      <c r="D23" s="818"/>
      <c r="E23" s="822"/>
      <c r="F23" s="818"/>
      <c r="G23" s="822"/>
      <c r="H23" s="817" t="str">
        <f t="shared" si="2"/>
        <v>-</v>
      </c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4"/>
      <c r="AI23" s="504"/>
      <c r="AJ23" s="504"/>
      <c r="AK23" s="504"/>
      <c r="AL23" s="504"/>
      <c r="AM23" s="504"/>
      <c r="AN23" s="504"/>
      <c r="AO23" s="504"/>
      <c r="AP23" s="504"/>
      <c r="AQ23" s="504"/>
      <c r="AR23" s="504"/>
      <c r="AS23" s="504"/>
      <c r="AT23" s="504"/>
      <c r="AU23" s="504"/>
      <c r="AV23" s="504"/>
      <c r="AW23" s="504"/>
      <c r="AX23" s="504"/>
      <c r="AY23" s="504"/>
      <c r="AZ23" s="504"/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4"/>
      <c r="BQ23" s="504"/>
      <c r="BR23" s="504"/>
      <c r="BS23" s="504"/>
      <c r="BT23" s="504"/>
      <c r="BU23" s="504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504"/>
      <c r="FS23" s="504"/>
      <c r="FT23" s="504"/>
      <c r="FU23" s="504"/>
      <c r="FV23" s="504"/>
      <c r="FW23" s="504"/>
      <c r="FX23" s="504"/>
      <c r="FY23" s="504"/>
      <c r="FZ23" s="504"/>
      <c r="GA23" s="504"/>
      <c r="GB23" s="504"/>
      <c r="GC23" s="504"/>
      <c r="GD23" s="504"/>
      <c r="GE23" s="504"/>
      <c r="GF23" s="504"/>
      <c r="GG23" s="504"/>
      <c r="GH23" s="504"/>
      <c r="GI23" s="504"/>
      <c r="GJ23" s="504"/>
      <c r="GK23" s="504"/>
      <c r="GL23" s="504"/>
      <c r="GM23" s="504"/>
      <c r="GN23" s="504"/>
      <c r="GO23" s="504"/>
      <c r="GP23" s="504"/>
      <c r="GQ23" s="504"/>
      <c r="GR23" s="504"/>
      <c r="GS23" s="504"/>
      <c r="GT23" s="504"/>
      <c r="GU23" s="504"/>
      <c r="GV23" s="504"/>
      <c r="GW23" s="504"/>
      <c r="GX23" s="504"/>
      <c r="GY23" s="504"/>
      <c r="GZ23" s="504"/>
      <c r="HA23" s="504"/>
      <c r="HB23" s="504"/>
      <c r="HC23" s="504"/>
      <c r="HD23" s="504"/>
      <c r="HE23" s="504"/>
      <c r="HF23" s="504"/>
      <c r="HG23" s="504"/>
      <c r="HH23" s="504"/>
      <c r="HI23" s="504"/>
      <c r="HJ23" s="504"/>
      <c r="HK23" s="504"/>
      <c r="HL23" s="504"/>
      <c r="HM23" s="504"/>
      <c r="HN23" s="504"/>
      <c r="HO23" s="504"/>
      <c r="HP23" s="504"/>
      <c r="HQ23" s="504"/>
    </row>
    <row r="24" spans="1:225" ht="14.4" x14ac:dyDescent="0.3">
      <c r="A24" s="235" t="s">
        <v>854</v>
      </c>
      <c r="B24" s="818">
        <v>21.890999999999998</v>
      </c>
      <c r="C24" s="819">
        <f>IF(B$30&lt;&gt;0,B24*100/B$30,"-")</f>
        <v>9.0926838183373881</v>
      </c>
      <c r="D24" s="818">
        <v>22.841000000000001</v>
      </c>
      <c r="E24" s="819">
        <f>IF(D$30&lt;&gt;0,D24*100/D$30,"-")</f>
        <v>8.2708100983473596</v>
      </c>
      <c r="F24" s="818">
        <v>24.465</v>
      </c>
      <c r="G24" s="819">
        <f>IF(F$30&lt;&gt;0,F24*100/F$30,"-")</f>
        <v>8.2675488990118815</v>
      </c>
      <c r="H24" s="817">
        <f t="shared" si="2"/>
        <v>107.11002145265093</v>
      </c>
      <c r="I24" s="504" t="s">
        <v>670</v>
      </c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04"/>
      <c r="AM24" s="504"/>
      <c r="AN24" s="504"/>
      <c r="AO24" s="504"/>
      <c r="AP24" s="504"/>
      <c r="AQ24" s="504"/>
      <c r="AR24" s="504"/>
      <c r="AS24" s="504"/>
      <c r="AT24" s="504"/>
      <c r="AU24" s="504"/>
      <c r="AV24" s="504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504"/>
      <c r="FS24" s="504"/>
      <c r="FT24" s="504"/>
      <c r="FU24" s="504"/>
      <c r="FV24" s="504"/>
      <c r="FW24" s="504"/>
      <c r="FX24" s="504"/>
      <c r="FY24" s="504"/>
      <c r="FZ24" s="504"/>
      <c r="GA24" s="504"/>
      <c r="GB24" s="504"/>
      <c r="GC24" s="504"/>
      <c r="GD24" s="504"/>
      <c r="GE24" s="504"/>
      <c r="GF24" s="504"/>
      <c r="GG24" s="504"/>
      <c r="GH24" s="504"/>
      <c r="GI24" s="504"/>
      <c r="GJ24" s="504"/>
      <c r="GK24" s="504"/>
      <c r="GL24" s="504"/>
      <c r="GM24" s="504"/>
      <c r="GN24" s="504"/>
      <c r="GO24" s="504"/>
      <c r="GP24" s="504"/>
      <c r="GQ24" s="504"/>
      <c r="GR24" s="504"/>
      <c r="GS24" s="504"/>
      <c r="GT24" s="504"/>
      <c r="GU24" s="504"/>
      <c r="GV24" s="504"/>
      <c r="GW24" s="504"/>
      <c r="GX24" s="504"/>
      <c r="GY24" s="504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</row>
    <row r="25" spans="1:225" ht="14.4" x14ac:dyDescent="0.3">
      <c r="A25" s="235" t="s">
        <v>855</v>
      </c>
      <c r="B25" s="818">
        <v>4.718</v>
      </c>
      <c r="C25" s="819">
        <f t="shared" ref="C25:E29" si="16">IF(B$30&lt;&gt;0,B25*100/B$30,"-")</f>
        <v>1.9596766824227219</v>
      </c>
      <c r="D25" s="818">
        <v>5.44</v>
      </c>
      <c r="E25" s="819">
        <f t="shared" si="16"/>
        <v>1.9698440057357223</v>
      </c>
      <c r="F25" s="818">
        <v>4.7240000000000002</v>
      </c>
      <c r="G25" s="819">
        <f t="shared" ref="G25" si="17">IF(F$30&lt;&gt;0,F25*100/F$30,"-")</f>
        <v>1.5963989780883765</v>
      </c>
      <c r="H25" s="817">
        <f t="shared" si="2"/>
        <v>86.838235294117652</v>
      </c>
      <c r="I25" s="504" t="s">
        <v>671</v>
      </c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504"/>
      <c r="U25" s="504"/>
      <c r="V25" s="504"/>
      <c r="W25" s="504"/>
      <c r="X25" s="504"/>
      <c r="Y25" s="504"/>
      <c r="Z25" s="504"/>
      <c r="AA25" s="504"/>
      <c r="AB25" s="504"/>
      <c r="AC25" s="504"/>
      <c r="AD25" s="504"/>
      <c r="AE25" s="504"/>
      <c r="AF25" s="504"/>
      <c r="AG25" s="504"/>
      <c r="AH25" s="504"/>
      <c r="AI25" s="504"/>
      <c r="AJ25" s="504"/>
      <c r="AK25" s="504"/>
      <c r="AL25" s="504"/>
      <c r="AM25" s="504"/>
      <c r="AN25" s="504"/>
      <c r="AO25" s="504"/>
      <c r="AP25" s="504"/>
      <c r="AQ25" s="504"/>
      <c r="AR25" s="504"/>
      <c r="AS25" s="504"/>
      <c r="AT25" s="504"/>
      <c r="AU25" s="504"/>
      <c r="AV25" s="504"/>
      <c r="AW25" s="504"/>
      <c r="AX25" s="504"/>
      <c r="AY25" s="504"/>
      <c r="AZ25" s="504"/>
      <c r="BA25" s="504"/>
      <c r="BB25" s="504"/>
      <c r="BC25" s="504"/>
      <c r="BD25" s="504"/>
      <c r="BE25" s="504"/>
      <c r="BF25" s="504"/>
      <c r="BG25" s="504"/>
      <c r="BH25" s="504"/>
      <c r="BI25" s="504"/>
      <c r="BJ25" s="504"/>
      <c r="BK25" s="504"/>
      <c r="BL25" s="504"/>
      <c r="BM25" s="504"/>
      <c r="BN25" s="504"/>
      <c r="BO25" s="504"/>
      <c r="BP25" s="504"/>
      <c r="BQ25" s="504"/>
      <c r="BR25" s="504"/>
      <c r="BS25" s="504"/>
      <c r="BT25" s="504"/>
      <c r="BU25" s="504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504"/>
      <c r="FS25" s="504"/>
      <c r="FT25" s="504"/>
      <c r="FU25" s="504"/>
      <c r="FV25" s="504"/>
      <c r="FW25" s="504"/>
      <c r="FX25" s="504"/>
      <c r="FY25" s="504"/>
      <c r="FZ25" s="504"/>
      <c r="GA25" s="504"/>
      <c r="GB25" s="504"/>
      <c r="GC25" s="504"/>
      <c r="GD25" s="504"/>
      <c r="GE25" s="504"/>
      <c r="GF25" s="504"/>
      <c r="GG25" s="504"/>
      <c r="GH25" s="504"/>
      <c r="GI25" s="504"/>
      <c r="GJ25" s="504"/>
      <c r="GK25" s="504"/>
      <c r="GL25" s="504"/>
      <c r="GM25" s="504"/>
      <c r="GN25" s="504"/>
      <c r="GO25" s="504"/>
      <c r="GP25" s="504"/>
      <c r="GQ25" s="504"/>
      <c r="GR25" s="504"/>
      <c r="GS25" s="504"/>
      <c r="GT25" s="504"/>
      <c r="GU25" s="504"/>
      <c r="GV25" s="504"/>
      <c r="GW25" s="504"/>
      <c r="GX25" s="504"/>
      <c r="GY25" s="504"/>
      <c r="GZ25" s="504"/>
      <c r="HA25" s="504"/>
      <c r="HB25" s="504"/>
      <c r="HC25" s="504"/>
      <c r="HD25" s="504"/>
      <c r="HE25" s="504"/>
      <c r="HF25" s="504"/>
      <c r="HG25" s="504"/>
      <c r="HH25" s="504"/>
      <c r="HI25" s="504"/>
      <c r="HJ25" s="504"/>
      <c r="HK25" s="504"/>
      <c r="HL25" s="504"/>
      <c r="HM25" s="504"/>
      <c r="HN25" s="504"/>
      <c r="HO25" s="504"/>
      <c r="HP25" s="504"/>
      <c r="HQ25" s="504"/>
    </row>
    <row r="26" spans="1:225" ht="14.4" x14ac:dyDescent="0.3">
      <c r="A26" s="235" t="s">
        <v>856</v>
      </c>
      <c r="B26" s="818">
        <v>12.593999999999999</v>
      </c>
      <c r="C26" s="819">
        <f t="shared" si="16"/>
        <v>5.2310657351487402</v>
      </c>
      <c r="D26" s="818">
        <v>13.116</v>
      </c>
      <c r="E26" s="819">
        <f t="shared" si="16"/>
        <v>4.7493518344172303</v>
      </c>
      <c r="F26" s="818">
        <v>13.74</v>
      </c>
      <c r="G26" s="819">
        <f t="shared" ref="G26" si="18">IF(F$30&lt;&gt;0,F26*100/F$30,"-")</f>
        <v>4.6432095594695797</v>
      </c>
      <c r="H26" s="817">
        <f t="shared" si="2"/>
        <v>104.75754803293687</v>
      </c>
      <c r="I26" s="505" t="s">
        <v>672</v>
      </c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504"/>
      <c r="Z26" s="504"/>
      <c r="AA26" s="504"/>
      <c r="AB26" s="504"/>
      <c r="AC26" s="504"/>
      <c r="AD26" s="504"/>
      <c r="AE26" s="504"/>
      <c r="AF26" s="504"/>
      <c r="AG26" s="504"/>
      <c r="AH26" s="504"/>
      <c r="AI26" s="504"/>
      <c r="AJ26" s="504"/>
      <c r="AK26" s="504"/>
      <c r="AL26" s="504"/>
      <c r="AM26" s="504"/>
      <c r="AN26" s="504"/>
      <c r="AO26" s="504"/>
      <c r="AP26" s="504"/>
      <c r="AQ26" s="504"/>
      <c r="AR26" s="504"/>
      <c r="AS26" s="504"/>
      <c r="AT26" s="504"/>
      <c r="AU26" s="504"/>
      <c r="AV26" s="504"/>
      <c r="AW26" s="504"/>
      <c r="AX26" s="504"/>
      <c r="AY26" s="504"/>
      <c r="AZ26" s="504"/>
      <c r="BA26" s="504"/>
      <c r="BB26" s="504"/>
      <c r="BC26" s="504"/>
      <c r="BD26" s="504"/>
      <c r="BE26" s="504"/>
      <c r="BF26" s="504"/>
      <c r="BG26" s="504"/>
      <c r="BH26" s="504"/>
      <c r="BI26" s="504"/>
      <c r="BJ26" s="504"/>
      <c r="BK26" s="504"/>
      <c r="BL26" s="504"/>
      <c r="BM26" s="504"/>
      <c r="BN26" s="504"/>
      <c r="BO26" s="504"/>
      <c r="BP26" s="504"/>
      <c r="BQ26" s="504"/>
      <c r="BR26" s="504"/>
      <c r="BS26" s="504"/>
      <c r="BT26" s="504"/>
      <c r="BU26" s="504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 s="504"/>
      <c r="FS26" s="504"/>
      <c r="FT26" s="504"/>
      <c r="FU26" s="504"/>
      <c r="FV26" s="504"/>
      <c r="FW26" s="504"/>
      <c r="FX26" s="504"/>
      <c r="FY26" s="504"/>
      <c r="FZ26" s="504"/>
      <c r="GA26" s="504"/>
      <c r="GB26" s="504"/>
      <c r="GC26" s="504"/>
      <c r="GD26" s="504"/>
      <c r="GE26" s="504"/>
      <c r="GF26" s="504"/>
      <c r="GG26" s="504"/>
      <c r="GH26" s="504"/>
      <c r="GI26" s="504"/>
      <c r="GJ26" s="504"/>
      <c r="GK26" s="504"/>
      <c r="GL26" s="504"/>
      <c r="GM26" s="504"/>
      <c r="GN26" s="504"/>
      <c r="GO26" s="504"/>
      <c r="GP26" s="504"/>
      <c r="GQ26" s="504"/>
      <c r="GR26" s="504"/>
      <c r="GS26" s="504"/>
      <c r="GT26" s="504"/>
      <c r="GU26" s="504"/>
      <c r="GV26" s="504"/>
      <c r="GW26" s="504"/>
      <c r="GX26" s="504"/>
      <c r="GY26" s="504"/>
      <c r="GZ26" s="504"/>
      <c r="HA26" s="504"/>
      <c r="HB26" s="504"/>
      <c r="HC26" s="504"/>
      <c r="HD26" s="504"/>
      <c r="HE26" s="504"/>
      <c r="HF26" s="504"/>
      <c r="HG26" s="504"/>
      <c r="HH26" s="504"/>
      <c r="HI26" s="504"/>
      <c r="HJ26" s="504"/>
      <c r="HK26" s="504"/>
      <c r="HL26" s="504"/>
      <c r="HM26" s="504"/>
      <c r="HN26" s="504"/>
      <c r="HO26" s="504"/>
      <c r="HP26" s="504"/>
      <c r="HQ26" s="504"/>
    </row>
    <row r="27" spans="1:225" ht="14.4" x14ac:dyDescent="0.3">
      <c r="A27" s="235" t="s">
        <v>857</v>
      </c>
      <c r="B27" s="818">
        <v>165.49100000000001</v>
      </c>
      <c r="C27" s="819">
        <f t="shared" si="16"/>
        <v>68.738629472407524</v>
      </c>
      <c r="D27" s="818">
        <v>183.44</v>
      </c>
      <c r="E27" s="819">
        <f t="shared" si="16"/>
        <v>66.424298605176631</v>
      </c>
      <c r="F27" s="818">
        <v>204.56899999999999</v>
      </c>
      <c r="G27" s="819">
        <f t="shared" ref="G27" si="19">IF(F$30&lt;&gt;0,F27*100/F$30,"-")</f>
        <v>69.130766839238149</v>
      </c>
      <c r="H27" s="817">
        <f t="shared" si="2"/>
        <v>111.51820758831225</v>
      </c>
      <c r="I27" s="504" t="s">
        <v>673</v>
      </c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504"/>
      <c r="AW27" s="504"/>
      <c r="AX27" s="504"/>
      <c r="AY27" s="504"/>
      <c r="AZ27" s="504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4"/>
      <c r="BL27" s="504"/>
      <c r="BM27" s="504"/>
      <c r="BN27" s="504"/>
      <c r="BO27" s="504"/>
      <c r="BP27" s="504"/>
      <c r="BQ27" s="504"/>
      <c r="BR27" s="504"/>
      <c r="BS27" s="504"/>
      <c r="BT27" s="504"/>
      <c r="BU27" s="504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 s="504"/>
      <c r="FS27" s="504"/>
      <c r="FT27" s="504"/>
      <c r="FU27" s="504"/>
      <c r="FV27" s="504"/>
      <c r="FW27" s="504"/>
      <c r="FX27" s="504"/>
      <c r="FY27" s="504"/>
      <c r="FZ27" s="504"/>
      <c r="GA27" s="504"/>
      <c r="GB27" s="504"/>
      <c r="GC27" s="504"/>
      <c r="GD27" s="504"/>
      <c r="GE27" s="504"/>
      <c r="GF27" s="504"/>
      <c r="GG27" s="504"/>
      <c r="GH27" s="504"/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</row>
    <row r="28" spans="1:225" ht="14.4" x14ac:dyDescent="0.3">
      <c r="A28" s="235" t="s">
        <v>858</v>
      </c>
      <c r="B28" s="818">
        <v>0.28599999999999998</v>
      </c>
      <c r="C28" s="819">
        <f t="shared" si="16"/>
        <v>0.11879345722189454</v>
      </c>
      <c r="D28" s="818">
        <v>0.17799999999999999</v>
      </c>
      <c r="E28" s="819">
        <f t="shared" si="16"/>
        <v>6.4454454599440922E-2</v>
      </c>
      <c r="F28" s="818">
        <v>0.17399999999999999</v>
      </c>
      <c r="G28" s="819">
        <f t="shared" ref="G28" si="20">IF(F$30&lt;&gt;0,F28*100/F$30,"-")</f>
        <v>5.8800470403763225E-2</v>
      </c>
      <c r="H28" s="817">
        <f t="shared" si="2"/>
        <v>97.752808988764045</v>
      </c>
      <c r="I28" s="505" t="s">
        <v>674</v>
      </c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/>
      <c r="AB28" s="504"/>
      <c r="AC28" s="504"/>
      <c r="AD28" s="504"/>
      <c r="AE28" s="504"/>
      <c r="AF28" s="504"/>
      <c r="AG28" s="504"/>
      <c r="AH28" s="504"/>
      <c r="AI28" s="504"/>
      <c r="AJ28" s="504"/>
      <c r="AK28" s="504"/>
      <c r="AL28" s="504"/>
      <c r="AM28" s="504"/>
      <c r="AN28" s="504"/>
      <c r="AO28" s="504"/>
      <c r="AP28" s="504"/>
      <c r="AQ28" s="504"/>
      <c r="AR28" s="504"/>
      <c r="AS28" s="504"/>
      <c r="AT28" s="504"/>
      <c r="AU28" s="504"/>
      <c r="AV28" s="504"/>
      <c r="AW28" s="504"/>
      <c r="AX28" s="504"/>
      <c r="AY28" s="504"/>
      <c r="AZ28" s="504"/>
      <c r="BA28" s="504"/>
      <c r="BB28" s="504"/>
      <c r="BC28" s="504"/>
      <c r="BD28" s="504"/>
      <c r="BE28" s="504"/>
      <c r="BF28" s="504"/>
      <c r="BG28" s="504"/>
      <c r="BH28" s="504"/>
      <c r="BI28" s="504"/>
      <c r="BJ28" s="504"/>
      <c r="BK28" s="504"/>
      <c r="BL28" s="504"/>
      <c r="BM28" s="504"/>
      <c r="BN28" s="504"/>
      <c r="BO28" s="504"/>
      <c r="BP28" s="504"/>
      <c r="BQ28" s="504"/>
      <c r="BR28" s="504"/>
      <c r="BS28" s="504"/>
      <c r="BT28" s="504"/>
      <c r="BU28" s="504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504"/>
      <c r="FS28" s="504"/>
      <c r="FT28" s="504"/>
      <c r="FU28" s="504"/>
      <c r="FV28" s="504"/>
      <c r="FW28" s="504"/>
      <c r="FX28" s="504"/>
      <c r="FY28" s="504"/>
      <c r="FZ28" s="504"/>
      <c r="GA28" s="504"/>
      <c r="GB28" s="504"/>
      <c r="GC28" s="504"/>
      <c r="GD28" s="504"/>
      <c r="GE28" s="504"/>
      <c r="GF28" s="504"/>
      <c r="GG28" s="504"/>
      <c r="GH28" s="504"/>
      <c r="GI28" s="504"/>
      <c r="GJ28" s="504"/>
      <c r="GK28" s="504"/>
      <c r="GL28" s="504"/>
      <c r="GM28" s="504"/>
      <c r="GN28" s="504"/>
      <c r="GO28" s="504"/>
      <c r="GP28" s="504"/>
      <c r="GQ28" s="504"/>
      <c r="GR28" s="504"/>
      <c r="GS28" s="504"/>
      <c r="GT28" s="504"/>
      <c r="GU28" s="504"/>
      <c r="GV28" s="504"/>
      <c r="GW28" s="504"/>
      <c r="GX28" s="504"/>
      <c r="GY28" s="504"/>
      <c r="GZ28" s="504"/>
      <c r="HA28" s="504"/>
      <c r="HB28" s="504"/>
      <c r="HC28" s="504"/>
      <c r="HD28" s="504"/>
      <c r="HE28" s="504"/>
      <c r="HF28" s="504"/>
      <c r="HG28" s="504"/>
      <c r="HH28" s="504"/>
      <c r="HI28" s="504"/>
      <c r="HJ28" s="504"/>
      <c r="HK28" s="504"/>
      <c r="HL28" s="504"/>
      <c r="HM28" s="504"/>
      <c r="HN28" s="504"/>
      <c r="HO28" s="504"/>
      <c r="HP28" s="504"/>
      <c r="HQ28" s="504"/>
    </row>
    <row r="29" spans="1:225" ht="14.4" x14ac:dyDescent="0.3">
      <c r="A29" s="235" t="s">
        <v>859</v>
      </c>
      <c r="B29" s="818">
        <v>35.774000000000001</v>
      </c>
      <c r="C29" s="819">
        <f t="shared" si="16"/>
        <v>14.859150834461731</v>
      </c>
      <c r="D29" s="818">
        <v>51.149000000000001</v>
      </c>
      <c r="E29" s="819">
        <f t="shared" si="16"/>
        <v>18.521241001723613</v>
      </c>
      <c r="F29" s="818">
        <v>48.244</v>
      </c>
      <c r="G29" s="819">
        <f t="shared" ref="G29" si="21">IF(F$30&lt;&gt;0,F29*100/F$30,"-")</f>
        <v>16.303275253788236</v>
      </c>
      <c r="H29" s="817">
        <f t="shared" si="2"/>
        <v>94.32051457506499</v>
      </c>
      <c r="I29" s="504" t="s">
        <v>675</v>
      </c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504"/>
      <c r="FS29" s="504"/>
      <c r="FT29" s="504"/>
      <c r="FU29" s="504"/>
      <c r="FV29" s="504"/>
      <c r="FW29" s="504"/>
      <c r="FX29" s="504"/>
      <c r="FY29" s="504"/>
      <c r="FZ29" s="504"/>
      <c r="GA29" s="504"/>
      <c r="GB29" s="504"/>
      <c r="GC29" s="504"/>
      <c r="GD29" s="504"/>
      <c r="GE29" s="504"/>
      <c r="GF29" s="504"/>
      <c r="GG29" s="504"/>
      <c r="GH29" s="504"/>
      <c r="GI29" s="504"/>
      <c r="GJ29" s="504"/>
      <c r="GK29" s="504"/>
      <c r="GL29" s="504"/>
      <c r="GM29" s="504"/>
      <c r="GN29" s="504"/>
      <c r="GO29" s="504"/>
      <c r="GP29" s="504"/>
      <c r="GQ29" s="504"/>
      <c r="GR29" s="504"/>
      <c r="GS29" s="504"/>
      <c r="GT29" s="504"/>
      <c r="GU29" s="504"/>
      <c r="GV29" s="504"/>
      <c r="GW29" s="504"/>
      <c r="GX29" s="504"/>
      <c r="GY29" s="504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</row>
    <row r="30" spans="1:225" ht="14.4" x14ac:dyDescent="0.3">
      <c r="A30" s="506" t="s">
        <v>860</v>
      </c>
      <c r="B30" s="820">
        <f t="shared" ref="B30:G30" si="22">SUM(B24:B29)</f>
        <v>240.75400000000002</v>
      </c>
      <c r="C30" s="821">
        <f t="shared" si="22"/>
        <v>100</v>
      </c>
      <c r="D30" s="820">
        <f t="shared" si="22"/>
        <v>276.16399999999999</v>
      </c>
      <c r="E30" s="821">
        <f t="shared" si="22"/>
        <v>99.999999999999986</v>
      </c>
      <c r="F30" s="820">
        <f t="shared" si="22"/>
        <v>295.916</v>
      </c>
      <c r="G30" s="821">
        <f t="shared" si="22"/>
        <v>100</v>
      </c>
      <c r="H30" s="817">
        <f t="shared" si="2"/>
        <v>107.15227183847279</v>
      </c>
      <c r="I30" s="507" t="s">
        <v>676</v>
      </c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504"/>
      <c r="AN30" s="504"/>
      <c r="AO30" s="504"/>
      <c r="AP30" s="504"/>
      <c r="AQ30" s="504"/>
      <c r="AR30" s="504"/>
      <c r="AS30" s="504"/>
      <c r="AT30" s="504"/>
      <c r="AU30" s="504"/>
      <c r="AV30" s="504"/>
      <c r="AW30" s="504"/>
      <c r="AX30" s="504"/>
      <c r="AY30" s="504"/>
      <c r="AZ30" s="504"/>
      <c r="BA30" s="504"/>
      <c r="BB30" s="504"/>
      <c r="BC30" s="504"/>
      <c r="BD30" s="504"/>
      <c r="BE30" s="504"/>
      <c r="BF30" s="504"/>
      <c r="BG30" s="504"/>
      <c r="BH30" s="504"/>
      <c r="BI30" s="504"/>
      <c r="BJ30" s="504"/>
      <c r="BK30" s="504"/>
      <c r="BL30" s="504"/>
      <c r="BM30" s="504"/>
      <c r="BN30" s="504"/>
      <c r="BO30" s="504"/>
      <c r="BP30" s="504"/>
      <c r="BQ30" s="504"/>
      <c r="BR30" s="504"/>
      <c r="BS30" s="504"/>
      <c r="BT30" s="504"/>
      <c r="BU30" s="504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504"/>
      <c r="FS30" s="504"/>
      <c r="FT30" s="504"/>
      <c r="FU30" s="504"/>
      <c r="FV30" s="504"/>
      <c r="FW30" s="504"/>
      <c r="FX30" s="504"/>
      <c r="FY30" s="504"/>
      <c r="FZ30" s="504"/>
      <c r="GA30" s="504"/>
      <c r="GB30" s="504"/>
      <c r="GC30" s="504"/>
      <c r="GD30" s="504"/>
      <c r="GE30" s="504"/>
      <c r="GF30" s="504"/>
      <c r="GG30" s="504"/>
      <c r="GH30" s="504"/>
      <c r="GI30" s="504"/>
      <c r="GJ30" s="504"/>
      <c r="GK30" s="504"/>
      <c r="GL30" s="504"/>
      <c r="GM30" s="504"/>
      <c r="GN30" s="504"/>
      <c r="GO30" s="504"/>
      <c r="GP30" s="504"/>
      <c r="GQ30" s="504"/>
      <c r="GR30" s="504"/>
      <c r="GS30" s="504"/>
      <c r="GT30" s="504"/>
      <c r="GU30" s="504"/>
      <c r="GV30" s="504"/>
      <c r="GW30" s="504"/>
      <c r="GX30" s="504"/>
      <c r="GY30" s="504"/>
      <c r="GZ30" s="504"/>
      <c r="HA30" s="504"/>
      <c r="HB30" s="504"/>
      <c r="HC30" s="504"/>
      <c r="HD30" s="504"/>
      <c r="HE30" s="504"/>
      <c r="HF30" s="504"/>
      <c r="HG30" s="504"/>
      <c r="HH30" s="504"/>
      <c r="HI30" s="504"/>
      <c r="HJ30" s="504"/>
      <c r="HK30" s="504"/>
      <c r="HL30" s="504"/>
      <c r="HM30" s="504"/>
      <c r="HN30" s="504"/>
      <c r="HO30" s="504"/>
      <c r="HP30" s="504"/>
      <c r="HQ30" s="504"/>
    </row>
    <row r="31" spans="1:225" ht="14.4" x14ac:dyDescent="0.3">
      <c r="A31" s="506" t="s">
        <v>861</v>
      </c>
      <c r="B31" s="818"/>
      <c r="C31" s="822"/>
      <c r="D31" s="818"/>
      <c r="E31" s="822"/>
      <c r="F31" s="818"/>
      <c r="G31" s="822"/>
      <c r="H31" s="817" t="str">
        <f t="shared" si="2"/>
        <v>-</v>
      </c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504"/>
      <c r="AI31" s="504"/>
      <c r="AJ31" s="504"/>
      <c r="AK31" s="504"/>
      <c r="AL31" s="504"/>
      <c r="AM31" s="504"/>
      <c r="AN31" s="504"/>
      <c r="AO31" s="504"/>
      <c r="AP31" s="504"/>
      <c r="AQ31" s="504"/>
      <c r="AR31" s="504"/>
      <c r="AS31" s="504"/>
      <c r="AT31" s="504"/>
      <c r="AU31" s="504"/>
      <c r="AV31" s="504"/>
      <c r="AW31" s="504"/>
      <c r="AX31" s="504"/>
      <c r="AY31" s="504"/>
      <c r="AZ31" s="504"/>
      <c r="BA31" s="504"/>
      <c r="BB31" s="504"/>
      <c r="BC31" s="504"/>
      <c r="BD31" s="504"/>
      <c r="BE31" s="504"/>
      <c r="BF31" s="504"/>
      <c r="BG31" s="504"/>
      <c r="BH31" s="504"/>
      <c r="BI31" s="504"/>
      <c r="BJ31" s="504"/>
      <c r="BK31" s="504"/>
      <c r="BL31" s="504"/>
      <c r="BM31" s="504"/>
      <c r="BN31" s="504"/>
      <c r="BO31" s="504"/>
      <c r="BP31" s="504"/>
      <c r="BQ31" s="504"/>
      <c r="BR31" s="504"/>
      <c r="BS31" s="504"/>
      <c r="BT31" s="504"/>
      <c r="BU31" s="504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504"/>
      <c r="FS31" s="504"/>
      <c r="FT31" s="504"/>
      <c r="FU31" s="504"/>
      <c r="FV31" s="504"/>
      <c r="FW31" s="504"/>
      <c r="FX31" s="504"/>
      <c r="FY31" s="504"/>
      <c r="FZ31" s="504"/>
      <c r="GA31" s="504"/>
      <c r="GB31" s="504"/>
      <c r="GC31" s="504"/>
      <c r="GD31" s="504"/>
      <c r="GE31" s="504"/>
      <c r="GF31" s="504"/>
      <c r="GG31" s="504"/>
      <c r="GH31" s="504"/>
      <c r="GI31" s="504"/>
      <c r="GJ31" s="504"/>
      <c r="GK31" s="504"/>
      <c r="GL31" s="504"/>
      <c r="GM31" s="504"/>
      <c r="GN31" s="504"/>
      <c r="GO31" s="504"/>
      <c r="GP31" s="504"/>
      <c r="GQ31" s="504"/>
      <c r="GR31" s="504"/>
      <c r="GS31" s="504"/>
      <c r="GT31" s="504"/>
      <c r="GU31" s="504"/>
      <c r="GV31" s="504"/>
      <c r="GW31" s="504"/>
      <c r="GX31" s="504"/>
      <c r="GY31" s="504"/>
      <c r="GZ31" s="504"/>
      <c r="HA31" s="504"/>
      <c r="HB31" s="504"/>
      <c r="HC31" s="504"/>
      <c r="HD31" s="504"/>
      <c r="HE31" s="504"/>
      <c r="HF31" s="504"/>
      <c r="HG31" s="504"/>
      <c r="HH31" s="504"/>
      <c r="HI31" s="504"/>
      <c r="HJ31" s="504"/>
      <c r="HK31" s="504"/>
      <c r="HL31" s="504"/>
      <c r="HM31" s="504"/>
      <c r="HN31" s="504"/>
      <c r="HO31" s="504"/>
      <c r="HP31" s="504"/>
      <c r="HQ31" s="504"/>
    </row>
    <row r="32" spans="1:225" ht="14.4" x14ac:dyDescent="0.3">
      <c r="A32" s="235" t="s">
        <v>212</v>
      </c>
      <c r="B32" s="818"/>
      <c r="C32" s="822"/>
      <c r="D32" s="818"/>
      <c r="E32" s="822"/>
      <c r="F32" s="818"/>
      <c r="G32" s="822"/>
      <c r="H32" s="817" t="str">
        <f t="shared" si="2"/>
        <v>-</v>
      </c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504"/>
      <c r="U32" s="504"/>
      <c r="V32" s="504"/>
      <c r="W32" s="504"/>
      <c r="X32" s="504"/>
      <c r="Y32" s="504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4"/>
      <c r="AL32" s="504"/>
      <c r="AM32" s="504"/>
      <c r="AN32" s="504"/>
      <c r="AO32" s="504"/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/>
      <c r="BA32" s="504"/>
      <c r="BB32" s="504"/>
      <c r="BC32" s="504"/>
      <c r="BD32" s="504"/>
      <c r="BE32" s="504"/>
      <c r="BF32" s="504"/>
      <c r="BG32" s="504"/>
      <c r="BH32" s="504"/>
      <c r="BI32" s="504"/>
      <c r="BJ32" s="504"/>
      <c r="BK32" s="504"/>
      <c r="BL32" s="504"/>
      <c r="BM32" s="504"/>
      <c r="BN32" s="504"/>
      <c r="BO32" s="504"/>
      <c r="BP32" s="504"/>
      <c r="BQ32" s="504"/>
      <c r="BR32" s="504"/>
      <c r="BS32" s="504"/>
      <c r="BT32" s="504"/>
      <c r="BU32" s="504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 s="504"/>
      <c r="FS32" s="504"/>
      <c r="FT32" s="504"/>
      <c r="FU32" s="504"/>
      <c r="FV32" s="504"/>
      <c r="FW32" s="504"/>
      <c r="FX32" s="504"/>
      <c r="FY32" s="504"/>
      <c r="FZ32" s="504"/>
      <c r="GA32" s="504"/>
      <c r="GB32" s="504"/>
      <c r="GC32" s="504"/>
      <c r="GD32" s="504"/>
      <c r="GE32" s="504"/>
      <c r="GF32" s="504"/>
      <c r="GG32" s="504"/>
      <c r="GH32" s="504"/>
      <c r="GI32" s="504"/>
      <c r="GJ32" s="504"/>
      <c r="GK32" s="504"/>
      <c r="GL32" s="504"/>
      <c r="GM32" s="504"/>
      <c r="GN32" s="504"/>
      <c r="GO32" s="504"/>
      <c r="GP32" s="504"/>
      <c r="GQ32" s="504"/>
      <c r="GR32" s="504"/>
      <c r="GS32" s="504"/>
      <c r="GT32" s="504"/>
      <c r="GU32" s="504"/>
      <c r="GV32" s="504"/>
      <c r="GW32" s="504"/>
      <c r="GX32" s="504"/>
      <c r="GY32" s="504"/>
      <c r="GZ32" s="504"/>
      <c r="HA32" s="504"/>
      <c r="HB32" s="504"/>
      <c r="HC32" s="504"/>
      <c r="HD32" s="504"/>
      <c r="HE32" s="504"/>
      <c r="HF32" s="504"/>
      <c r="HG32" s="504"/>
      <c r="HH32" s="504"/>
      <c r="HI32" s="504"/>
      <c r="HJ32" s="504"/>
      <c r="HK32" s="504"/>
      <c r="HL32" s="504"/>
      <c r="HM32" s="504"/>
      <c r="HN32" s="504"/>
      <c r="HO32" s="504"/>
      <c r="HP32" s="504"/>
      <c r="HQ32" s="504"/>
    </row>
    <row r="33" spans="1:225" ht="14.4" x14ac:dyDescent="0.3">
      <c r="A33" s="235" t="s">
        <v>862</v>
      </c>
      <c r="B33" s="818">
        <v>47.103000000000002</v>
      </c>
      <c r="C33" s="822"/>
      <c r="D33" s="818">
        <v>37.725000000000001</v>
      </c>
      <c r="E33" s="822"/>
      <c r="F33" s="818">
        <v>23.492000000000001</v>
      </c>
      <c r="G33" s="822"/>
      <c r="H33" s="817">
        <f t="shared" si="2"/>
        <v>62.271703114645469</v>
      </c>
      <c r="I33" s="504" t="s">
        <v>677</v>
      </c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504"/>
      <c r="U33" s="504"/>
      <c r="V33" s="504"/>
      <c r="W33" s="504"/>
      <c r="X33" s="504"/>
      <c r="Y33" s="504"/>
      <c r="Z33" s="504"/>
      <c r="AA33" s="504"/>
      <c r="AB33" s="504"/>
      <c r="AC33" s="504"/>
      <c r="AD33" s="504"/>
      <c r="AE33" s="504"/>
      <c r="AF33" s="504"/>
      <c r="AG33" s="504"/>
      <c r="AH33" s="504"/>
      <c r="AI33" s="504"/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</row>
    <row r="34" spans="1:225" ht="14.4" x14ac:dyDescent="0.3">
      <c r="A34" s="235" t="s">
        <v>863</v>
      </c>
      <c r="B34" s="818">
        <v>57.168999999999997</v>
      </c>
      <c r="C34" s="822"/>
      <c r="D34" s="818">
        <v>60.158000000000001</v>
      </c>
      <c r="E34" s="822"/>
      <c r="F34" s="818">
        <v>68.86</v>
      </c>
      <c r="G34" s="822"/>
      <c r="H34" s="817">
        <f t="shared" si="2"/>
        <v>114.46524153063599</v>
      </c>
      <c r="I34" s="504" t="s">
        <v>678</v>
      </c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</row>
    <row r="35" spans="1:225" ht="14.4" x14ac:dyDescent="0.3">
      <c r="A35" s="506" t="s">
        <v>864</v>
      </c>
      <c r="B35" s="820">
        <f>+B33+B34</f>
        <v>104.27199999999999</v>
      </c>
      <c r="C35" s="823"/>
      <c r="D35" s="820">
        <f>+D33+D34</f>
        <v>97.88300000000001</v>
      </c>
      <c r="E35" s="823"/>
      <c r="F35" s="820">
        <f>+F33+F34</f>
        <v>92.352000000000004</v>
      </c>
      <c r="G35" s="823"/>
      <c r="H35" s="817">
        <f t="shared" si="2"/>
        <v>94.349376296190343</v>
      </c>
      <c r="I35" s="507" t="s">
        <v>679</v>
      </c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504"/>
      <c r="U35" s="504"/>
      <c r="V35" s="504"/>
      <c r="W35" s="504"/>
      <c r="X35" s="504"/>
      <c r="Y35" s="504"/>
      <c r="Z35" s="504"/>
      <c r="AA35" s="504"/>
      <c r="AB35" s="504"/>
      <c r="AC35" s="504"/>
      <c r="AD35" s="504"/>
      <c r="AE35" s="504"/>
      <c r="AF35" s="504"/>
      <c r="AG35" s="504"/>
      <c r="AH35" s="504"/>
      <c r="AI35" s="504"/>
      <c r="AJ35" s="504"/>
      <c r="AK35" s="504"/>
      <c r="AL35" s="504"/>
      <c r="AM35" s="504"/>
      <c r="AN35" s="504"/>
      <c r="AO35" s="504"/>
      <c r="AP35" s="504"/>
      <c r="AQ35" s="504"/>
      <c r="AR35" s="504"/>
      <c r="AS35" s="504"/>
      <c r="AT35" s="504"/>
      <c r="AU35" s="504"/>
      <c r="AV35" s="504"/>
      <c r="AW35" s="504"/>
      <c r="AX35" s="504"/>
      <c r="AY35" s="504"/>
      <c r="AZ35" s="504"/>
      <c r="BA35" s="504"/>
      <c r="BB35" s="504"/>
      <c r="BC35" s="504"/>
      <c r="BD35" s="504"/>
      <c r="BE35" s="504"/>
      <c r="BF35" s="504"/>
      <c r="BG35" s="504"/>
      <c r="BH35" s="504"/>
      <c r="BI35" s="504"/>
      <c r="BJ35" s="504"/>
      <c r="BK35" s="504"/>
      <c r="BL35" s="504"/>
      <c r="BM35" s="504"/>
      <c r="BN35" s="504"/>
      <c r="BO35" s="504"/>
      <c r="BP35" s="504"/>
      <c r="BQ35" s="504"/>
      <c r="BR35" s="504"/>
      <c r="BS35" s="504"/>
      <c r="BT35" s="504"/>
      <c r="BU35" s="504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504"/>
      <c r="FS35" s="504"/>
      <c r="FT35" s="504"/>
      <c r="FU35" s="504"/>
      <c r="FV35" s="504"/>
      <c r="FW35" s="504"/>
      <c r="FX35" s="504"/>
      <c r="FY35" s="504"/>
      <c r="FZ35" s="504"/>
      <c r="GA35" s="504"/>
      <c r="GB35" s="504"/>
      <c r="GC35" s="504"/>
      <c r="GD35" s="504"/>
      <c r="GE35" s="504"/>
      <c r="GF35" s="504"/>
      <c r="GG35" s="504"/>
      <c r="GH35" s="504"/>
      <c r="GI35" s="504"/>
      <c r="GJ35" s="504"/>
      <c r="GK35" s="504"/>
      <c r="GL35" s="504"/>
      <c r="GM35" s="504"/>
      <c r="GN35" s="504"/>
      <c r="GO35" s="504"/>
      <c r="GP35" s="504"/>
      <c r="GQ35" s="504"/>
      <c r="GR35" s="504"/>
      <c r="GS35" s="504"/>
      <c r="GT35" s="504"/>
      <c r="GU35" s="504"/>
      <c r="GV35" s="504"/>
      <c r="GW35" s="504"/>
      <c r="GX35" s="504"/>
      <c r="GY35" s="504"/>
      <c r="GZ35" s="504"/>
      <c r="HA35" s="504"/>
      <c r="HB35" s="504"/>
      <c r="HC35" s="504"/>
      <c r="HD35" s="504"/>
      <c r="HE35" s="504"/>
      <c r="HF35" s="504"/>
      <c r="HG35" s="504"/>
      <c r="HH35" s="504"/>
      <c r="HI35" s="504"/>
      <c r="HJ35" s="504"/>
      <c r="HK35" s="504"/>
      <c r="HL35" s="504"/>
      <c r="HM35" s="504"/>
      <c r="HN35" s="504"/>
      <c r="HO35" s="504"/>
      <c r="HP35" s="504"/>
      <c r="HQ35" s="504"/>
    </row>
    <row r="36" spans="1:225" ht="14.4" x14ac:dyDescent="0.3">
      <c r="A36" s="235" t="s">
        <v>213</v>
      </c>
      <c r="B36" s="818"/>
      <c r="C36" s="822"/>
      <c r="D36" s="818"/>
      <c r="E36" s="822"/>
      <c r="F36" s="818"/>
      <c r="G36" s="822"/>
      <c r="H36" s="817" t="str">
        <f t="shared" si="2"/>
        <v>-</v>
      </c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</row>
    <row r="37" spans="1:225" ht="14.4" x14ac:dyDescent="0.3">
      <c r="A37" s="235" t="s">
        <v>865</v>
      </c>
      <c r="B37" s="818">
        <v>120.209</v>
      </c>
      <c r="C37" s="822"/>
      <c r="D37" s="818">
        <v>137.07</v>
      </c>
      <c r="E37" s="822"/>
      <c r="F37" s="818">
        <v>146.71199999999999</v>
      </c>
      <c r="G37" s="822"/>
      <c r="H37" s="817">
        <f t="shared" si="2"/>
        <v>107.03436200481505</v>
      </c>
      <c r="I37" s="505" t="s">
        <v>680</v>
      </c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504"/>
      <c r="U37" s="504"/>
      <c r="V37" s="504"/>
      <c r="W37" s="504"/>
      <c r="X37" s="504"/>
      <c r="Y37" s="504"/>
      <c r="Z37" s="504"/>
      <c r="AA37" s="504"/>
      <c r="AB37" s="504"/>
      <c r="AC37" s="504"/>
      <c r="AD37" s="504"/>
      <c r="AE37" s="504"/>
      <c r="AF37" s="504"/>
      <c r="AG37" s="504"/>
      <c r="AH37" s="504"/>
      <c r="AI37" s="504"/>
      <c r="AJ37" s="504"/>
      <c r="AK37" s="504"/>
      <c r="AL37" s="504"/>
      <c r="AM37" s="504"/>
      <c r="AN37" s="504"/>
      <c r="AO37" s="504"/>
      <c r="AP37" s="504"/>
      <c r="AQ37" s="504"/>
      <c r="AR37" s="504"/>
      <c r="AS37" s="504"/>
      <c r="AT37" s="504"/>
      <c r="AU37" s="504"/>
      <c r="AV37" s="504"/>
      <c r="AW37" s="504"/>
      <c r="AX37" s="504"/>
      <c r="AY37" s="504"/>
      <c r="AZ37" s="504"/>
      <c r="BA37" s="504"/>
      <c r="BB37" s="504"/>
      <c r="BC37" s="504"/>
      <c r="BD37" s="504"/>
      <c r="BE37" s="504"/>
      <c r="BF37" s="504"/>
      <c r="BG37" s="504"/>
      <c r="BH37" s="504"/>
      <c r="BI37" s="504"/>
      <c r="BJ37" s="504"/>
      <c r="BK37" s="504"/>
      <c r="BL37" s="504"/>
      <c r="BM37" s="504"/>
      <c r="BN37" s="504"/>
      <c r="BO37" s="504"/>
      <c r="BP37" s="504"/>
      <c r="BQ37" s="504"/>
      <c r="BR37" s="504"/>
      <c r="BS37" s="504"/>
      <c r="BT37" s="504"/>
      <c r="BU37" s="504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504"/>
      <c r="FS37" s="504"/>
      <c r="FT37" s="504"/>
      <c r="FU37" s="504"/>
      <c r="FV37" s="504"/>
      <c r="FW37" s="504"/>
      <c r="FX37" s="504"/>
      <c r="FY37" s="504"/>
      <c r="FZ37" s="504"/>
      <c r="GA37" s="504"/>
      <c r="GB37" s="504"/>
      <c r="GC37" s="504"/>
      <c r="GD37" s="504"/>
      <c r="GE37" s="504"/>
      <c r="GF37" s="504"/>
      <c r="GG37" s="504"/>
      <c r="GH37" s="504"/>
      <c r="GI37" s="504"/>
      <c r="GJ37" s="504"/>
      <c r="GK37" s="504"/>
      <c r="GL37" s="504"/>
      <c r="GM37" s="504"/>
      <c r="GN37" s="504"/>
      <c r="GO37" s="504"/>
      <c r="GP37" s="504"/>
      <c r="GQ37" s="504"/>
      <c r="GR37" s="504"/>
      <c r="GS37" s="504"/>
      <c r="GT37" s="504"/>
      <c r="GU37" s="504"/>
      <c r="GV37" s="504"/>
      <c r="GW37" s="504"/>
      <c r="GX37" s="504"/>
      <c r="GY37" s="504"/>
      <c r="GZ37" s="504"/>
      <c r="HA37" s="504"/>
      <c r="HB37" s="504"/>
      <c r="HC37" s="504"/>
      <c r="HD37" s="504"/>
      <c r="HE37" s="504"/>
      <c r="HF37" s="504"/>
      <c r="HG37" s="504"/>
      <c r="HH37" s="504"/>
      <c r="HI37" s="504"/>
      <c r="HJ37" s="504"/>
      <c r="HK37" s="504"/>
      <c r="HL37" s="504"/>
      <c r="HM37" s="504"/>
      <c r="HN37" s="504"/>
      <c r="HO37" s="504"/>
      <c r="HP37" s="504"/>
      <c r="HQ37" s="504"/>
    </row>
    <row r="38" spans="1:225" ht="14.4" x14ac:dyDescent="0.3">
      <c r="A38" s="235" t="s">
        <v>866</v>
      </c>
      <c r="B38" s="818">
        <v>73.013999999999996</v>
      </c>
      <c r="C38" s="822"/>
      <c r="D38" s="818">
        <v>77.837999999999994</v>
      </c>
      <c r="E38" s="822"/>
      <c r="F38" s="818">
        <v>80.460999999999999</v>
      </c>
      <c r="G38" s="822"/>
      <c r="H38" s="817">
        <f t="shared" si="2"/>
        <v>103.36981936843188</v>
      </c>
      <c r="I38" s="504" t="s">
        <v>681</v>
      </c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4"/>
      <c r="AM38" s="504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</row>
    <row r="39" spans="1:225" ht="14.4" x14ac:dyDescent="0.3">
      <c r="A39" s="235" t="s">
        <v>867</v>
      </c>
      <c r="B39" s="818">
        <v>86.876999999999995</v>
      </c>
      <c r="C39" s="822"/>
      <c r="D39" s="818">
        <v>83.147000000000006</v>
      </c>
      <c r="E39" s="822"/>
      <c r="F39" s="818">
        <v>82.978999999999999</v>
      </c>
      <c r="G39" s="822"/>
      <c r="H39" s="817">
        <f t="shared" si="2"/>
        <v>99.797948212202471</v>
      </c>
      <c r="I39" s="504" t="s">
        <v>682</v>
      </c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04"/>
      <c r="AA39" s="504"/>
      <c r="AB39" s="504"/>
      <c r="AC39" s="504"/>
      <c r="AD39" s="504"/>
      <c r="AE39" s="504"/>
      <c r="AF39" s="504"/>
      <c r="AG39" s="504"/>
      <c r="AH39" s="504"/>
      <c r="AI39" s="504"/>
      <c r="AJ39" s="504"/>
      <c r="AK39" s="504"/>
      <c r="AL39" s="504"/>
      <c r="AM39" s="504"/>
      <c r="AN39" s="504"/>
      <c r="AO39" s="504"/>
      <c r="AP39" s="504"/>
      <c r="AQ39" s="504"/>
      <c r="AR39" s="504"/>
      <c r="AS39" s="504"/>
      <c r="AT39" s="504"/>
      <c r="AU39" s="504"/>
      <c r="AV39" s="504"/>
      <c r="AW39" s="504"/>
      <c r="AX39" s="504"/>
      <c r="AY39" s="504"/>
      <c r="AZ39" s="504"/>
      <c r="BA39" s="504"/>
      <c r="BB39" s="504"/>
      <c r="BC39" s="504"/>
      <c r="BD39" s="504"/>
      <c r="BE39" s="504"/>
      <c r="BF39" s="504"/>
      <c r="BG39" s="504"/>
      <c r="BH39" s="504"/>
      <c r="BI39" s="504"/>
      <c r="BJ39" s="504"/>
      <c r="BK39" s="504"/>
      <c r="BL39" s="504"/>
      <c r="BM39" s="504"/>
      <c r="BN39" s="504"/>
      <c r="BO39" s="504"/>
      <c r="BP39" s="504"/>
      <c r="BQ39" s="504"/>
      <c r="BR39" s="504"/>
      <c r="BS39" s="504"/>
      <c r="BT39" s="504"/>
      <c r="BU39" s="504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 s="504"/>
      <c r="FS39" s="504"/>
      <c r="FT39" s="504"/>
      <c r="FU39" s="504"/>
      <c r="FV39" s="504"/>
      <c r="FW39" s="504"/>
      <c r="FX39" s="504"/>
      <c r="FY39" s="504"/>
      <c r="FZ39" s="504"/>
      <c r="GA39" s="504"/>
      <c r="GB39" s="504"/>
      <c r="GC39" s="504"/>
      <c r="GD39" s="504"/>
      <c r="GE39" s="504"/>
      <c r="GF39" s="504"/>
      <c r="GG39" s="504"/>
      <c r="GH39" s="504"/>
      <c r="GI39" s="504"/>
      <c r="GJ39" s="504"/>
      <c r="GK39" s="504"/>
      <c r="GL39" s="504"/>
      <c r="GM39" s="504"/>
      <c r="GN39" s="504"/>
      <c r="GO39" s="504"/>
      <c r="GP39" s="504"/>
      <c r="GQ39" s="504"/>
      <c r="GR39" s="504"/>
      <c r="GS39" s="504"/>
      <c r="GT39" s="504"/>
      <c r="GU39" s="504"/>
      <c r="GV39" s="504"/>
      <c r="GW39" s="504"/>
      <c r="GX39" s="504"/>
      <c r="GY39" s="504"/>
      <c r="GZ39" s="504"/>
      <c r="HA39" s="504"/>
      <c r="HB39" s="504"/>
      <c r="HC39" s="504"/>
      <c r="HD39" s="504"/>
      <c r="HE39" s="504"/>
      <c r="HF39" s="504"/>
      <c r="HG39" s="504"/>
      <c r="HH39" s="504"/>
      <c r="HI39" s="504"/>
      <c r="HJ39" s="504"/>
      <c r="HK39" s="504"/>
      <c r="HL39" s="504"/>
      <c r="HM39" s="504"/>
      <c r="HN39" s="504"/>
      <c r="HO39" s="504"/>
      <c r="HP39" s="504"/>
      <c r="HQ39" s="504"/>
    </row>
    <row r="40" spans="1:225" ht="14.4" x14ac:dyDescent="0.3">
      <c r="A40" s="506" t="s">
        <v>868</v>
      </c>
      <c r="B40" s="820">
        <f>SUM(B37:B39)</f>
        <v>280.10000000000002</v>
      </c>
      <c r="C40" s="823"/>
      <c r="D40" s="820">
        <f>SUM(D37:D39)</f>
        <v>298.05500000000001</v>
      </c>
      <c r="E40" s="823"/>
      <c r="F40" s="820">
        <f>SUM(F37:F39)</f>
        <v>310.15199999999999</v>
      </c>
      <c r="G40" s="823"/>
      <c r="H40" s="817">
        <f t="shared" si="2"/>
        <v>104.05864689402961</v>
      </c>
      <c r="I40" s="507" t="s">
        <v>683</v>
      </c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4"/>
      <c r="AS40" s="504"/>
      <c r="AT40" s="504"/>
      <c r="AU40" s="504"/>
      <c r="AV40" s="504"/>
      <c r="AW40" s="504"/>
      <c r="AX40" s="504"/>
      <c r="AY40" s="504"/>
      <c r="AZ40" s="504"/>
      <c r="BA40" s="504"/>
      <c r="BB40" s="504"/>
      <c r="BC40" s="504"/>
      <c r="BD40" s="504"/>
      <c r="BE40" s="504"/>
      <c r="BF40" s="504"/>
      <c r="BG40" s="504"/>
      <c r="BH40" s="504"/>
      <c r="BI40" s="504"/>
      <c r="BJ40" s="504"/>
      <c r="BK40" s="504"/>
      <c r="BL40" s="504"/>
      <c r="BM40" s="504"/>
      <c r="BN40" s="504"/>
      <c r="BO40" s="504"/>
      <c r="BP40" s="504"/>
      <c r="BQ40" s="504"/>
      <c r="BR40" s="504"/>
      <c r="BS40" s="504"/>
      <c r="BT40" s="504"/>
      <c r="BU40" s="504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504"/>
      <c r="FS40" s="504"/>
      <c r="FT40" s="504"/>
      <c r="FU40" s="504"/>
      <c r="FV40" s="504"/>
      <c r="FW40" s="504"/>
      <c r="FX40" s="504"/>
      <c r="FY40" s="504"/>
      <c r="FZ40" s="504"/>
      <c r="GA40" s="504"/>
      <c r="GB40" s="504"/>
      <c r="GC40" s="504"/>
      <c r="GD40" s="504"/>
      <c r="GE40" s="504"/>
      <c r="GF40" s="504"/>
      <c r="GG40" s="504"/>
      <c r="GH40" s="504"/>
      <c r="GI40" s="504"/>
      <c r="GJ40" s="504"/>
      <c r="GK40" s="504"/>
      <c r="GL40" s="504"/>
      <c r="GM40" s="504"/>
      <c r="GN40" s="504"/>
      <c r="GO40" s="504"/>
      <c r="GP40" s="504"/>
      <c r="GQ40" s="504"/>
      <c r="GR40" s="504"/>
      <c r="GS40" s="504"/>
      <c r="GT40" s="504"/>
      <c r="GU40" s="504"/>
      <c r="GV40" s="504"/>
      <c r="GW40" s="504"/>
      <c r="GX40" s="504"/>
      <c r="GY40" s="504"/>
      <c r="GZ40" s="504"/>
      <c r="HA40" s="504"/>
      <c r="HB40" s="504"/>
      <c r="HC40" s="504"/>
      <c r="HD40" s="504"/>
      <c r="HE40" s="504"/>
      <c r="HF40" s="504"/>
      <c r="HG40" s="504"/>
      <c r="HH40" s="504"/>
      <c r="HI40" s="504"/>
      <c r="HJ40" s="504"/>
      <c r="HK40" s="504"/>
      <c r="HL40" s="504"/>
      <c r="HM40" s="504"/>
      <c r="HN40" s="504"/>
      <c r="HO40" s="504"/>
      <c r="HP40" s="504"/>
      <c r="HQ40" s="504"/>
    </row>
    <row r="41" spans="1:225" ht="14.4" x14ac:dyDescent="0.3">
      <c r="A41" s="506" t="s">
        <v>869</v>
      </c>
      <c r="B41" s="820">
        <f>+B35+B40</f>
        <v>384.37200000000001</v>
      </c>
      <c r="C41" s="823"/>
      <c r="D41" s="820">
        <f>+D35+D40</f>
        <v>395.93799999999999</v>
      </c>
      <c r="E41" s="823"/>
      <c r="F41" s="820">
        <f>+F35+F40</f>
        <v>402.50400000000002</v>
      </c>
      <c r="G41" s="823"/>
      <c r="H41" s="817">
        <f t="shared" si="2"/>
        <v>101.65834044724174</v>
      </c>
      <c r="I41" s="507" t="s">
        <v>684</v>
      </c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04"/>
      <c r="AA41" s="504"/>
      <c r="AB41" s="504"/>
      <c r="AC41" s="504"/>
      <c r="AD41" s="504"/>
      <c r="AE41" s="504"/>
      <c r="AF41" s="504"/>
      <c r="AG41" s="504"/>
      <c r="AH41" s="504"/>
      <c r="AI41" s="504"/>
      <c r="AJ41" s="504"/>
      <c r="AK41" s="504"/>
      <c r="AL41" s="504"/>
      <c r="AM41" s="504"/>
      <c r="AN41" s="504"/>
      <c r="AO41" s="504"/>
      <c r="AP41" s="504"/>
      <c r="AQ41" s="504"/>
      <c r="AR41" s="504"/>
      <c r="AS41" s="504"/>
      <c r="AT41" s="504"/>
      <c r="AU41" s="504"/>
      <c r="AV41" s="504"/>
      <c r="AW41" s="504"/>
      <c r="AX41" s="504"/>
      <c r="AY41" s="504"/>
      <c r="AZ41" s="504"/>
      <c r="BA41" s="504"/>
      <c r="BB41" s="504"/>
      <c r="BC41" s="504"/>
      <c r="BD41" s="504"/>
      <c r="BE41" s="504"/>
      <c r="BF41" s="504"/>
      <c r="BG41" s="504"/>
      <c r="BH41" s="504"/>
      <c r="BI41" s="504"/>
      <c r="BJ41" s="504"/>
      <c r="BK41" s="504"/>
      <c r="BL41" s="504"/>
      <c r="BM41" s="504"/>
      <c r="BN41" s="504"/>
      <c r="BO41" s="504"/>
      <c r="BP41" s="504"/>
      <c r="BQ41" s="504"/>
      <c r="BR41" s="504"/>
      <c r="BS41" s="504"/>
      <c r="BT41" s="504"/>
      <c r="BU41" s="504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504"/>
      <c r="FS41" s="504"/>
      <c r="FT41" s="504"/>
      <c r="FU41" s="504"/>
      <c r="FV41" s="504"/>
      <c r="FW41" s="504"/>
      <c r="FX41" s="504"/>
      <c r="FY41" s="504"/>
      <c r="FZ41" s="504"/>
      <c r="GA41" s="504"/>
      <c r="GB41" s="504"/>
      <c r="GC41" s="504"/>
      <c r="GD41" s="504"/>
      <c r="GE41" s="504"/>
      <c r="GF41" s="504"/>
      <c r="GG41" s="504"/>
      <c r="GH41" s="504"/>
      <c r="GI41" s="504"/>
      <c r="GJ41" s="504"/>
      <c r="GK41" s="504"/>
      <c r="GL41" s="504"/>
      <c r="GM41" s="504"/>
      <c r="GN41" s="504"/>
      <c r="GO41" s="504"/>
      <c r="GP41" s="504"/>
      <c r="GQ41" s="504"/>
      <c r="GR41" s="504"/>
      <c r="GS41" s="504"/>
      <c r="GT41" s="504"/>
      <c r="GU41" s="504"/>
      <c r="GV41" s="504"/>
      <c r="GW41" s="504"/>
      <c r="GX41" s="504"/>
      <c r="GY41" s="504"/>
      <c r="GZ41" s="504"/>
      <c r="HA41" s="504"/>
      <c r="HB41" s="504"/>
      <c r="HC41" s="504"/>
      <c r="HD41" s="504"/>
      <c r="HE41" s="504"/>
      <c r="HF41" s="504"/>
      <c r="HG41" s="504"/>
      <c r="HH41" s="504"/>
      <c r="HI41" s="504"/>
      <c r="HJ41" s="504"/>
      <c r="HK41" s="504"/>
      <c r="HL41" s="504"/>
      <c r="HM41" s="504"/>
      <c r="HN41" s="504"/>
      <c r="HO41" s="504"/>
      <c r="HP41" s="504"/>
      <c r="HQ41" s="504"/>
    </row>
    <row r="42" spans="1:225" ht="14.4" x14ac:dyDescent="0.3">
      <c r="A42" s="506" t="s">
        <v>870</v>
      </c>
      <c r="B42" s="820">
        <v>209.03399999999999</v>
      </c>
      <c r="C42" s="823"/>
      <c r="D42" s="820">
        <v>269.72899999999998</v>
      </c>
      <c r="E42" s="823"/>
      <c r="F42" s="820">
        <v>288.53899999999999</v>
      </c>
      <c r="G42" s="823"/>
      <c r="H42" s="817">
        <f t="shared" si="2"/>
        <v>106.97366616122108</v>
      </c>
      <c r="I42" s="504" t="s">
        <v>685</v>
      </c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4"/>
      <c r="AA42" s="504"/>
      <c r="AB42" s="504"/>
      <c r="AC42" s="504"/>
      <c r="AD42" s="504"/>
      <c r="AE42" s="504"/>
      <c r="AF42" s="504"/>
      <c r="AG42" s="504"/>
      <c r="AH42" s="504"/>
      <c r="AI42" s="504"/>
      <c r="AJ42" s="504"/>
      <c r="AK42" s="504"/>
      <c r="AL42" s="504"/>
      <c r="AM42" s="504"/>
      <c r="AN42" s="504"/>
      <c r="AO42" s="504"/>
      <c r="AP42" s="504"/>
      <c r="AQ42" s="504"/>
      <c r="AR42" s="504"/>
      <c r="AS42" s="504"/>
      <c r="AT42" s="504"/>
      <c r="AU42" s="504"/>
      <c r="AV42" s="504"/>
      <c r="AW42" s="504"/>
      <c r="AX42" s="504"/>
      <c r="AY42" s="504"/>
      <c r="AZ42" s="504"/>
      <c r="BA42" s="504"/>
      <c r="BB42" s="504"/>
      <c r="BC42" s="504"/>
      <c r="BD42" s="504"/>
      <c r="BE42" s="504"/>
      <c r="BF42" s="504"/>
      <c r="BG42" s="504"/>
      <c r="BH42" s="504"/>
      <c r="BI42" s="504"/>
      <c r="BJ42" s="504"/>
      <c r="BK42" s="504"/>
      <c r="BL42" s="504"/>
      <c r="BM42" s="504"/>
      <c r="BN42" s="504"/>
      <c r="BO42" s="504"/>
      <c r="BP42" s="504"/>
      <c r="BQ42" s="504"/>
      <c r="BR42" s="504"/>
      <c r="BS42" s="504"/>
      <c r="BT42" s="504"/>
      <c r="BU42" s="504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504"/>
      <c r="FS42" s="504"/>
      <c r="FT42" s="504"/>
      <c r="FU42" s="504"/>
      <c r="FV42" s="504"/>
      <c r="FW42" s="504"/>
      <c r="FX42" s="504"/>
      <c r="FY42" s="504"/>
      <c r="FZ42" s="504"/>
      <c r="GA42" s="504"/>
      <c r="GB42" s="504"/>
      <c r="GC42" s="504"/>
      <c r="GD42" s="504"/>
      <c r="GE42" s="504"/>
      <c r="GF42" s="504"/>
      <c r="GG42" s="504"/>
      <c r="GH42" s="504"/>
      <c r="GI42" s="504"/>
      <c r="GJ42" s="504"/>
      <c r="GK42" s="504"/>
      <c r="GL42" s="504"/>
      <c r="GM42" s="504"/>
      <c r="GN42" s="504"/>
      <c r="GO42" s="504"/>
      <c r="GP42" s="504"/>
      <c r="GQ42" s="504"/>
      <c r="GR42" s="504"/>
      <c r="GS42" s="504"/>
      <c r="GT42" s="504"/>
      <c r="GU42" s="504"/>
      <c r="GV42" s="504"/>
      <c r="GW42" s="504"/>
      <c r="GX42" s="504"/>
      <c r="GY42" s="504"/>
      <c r="GZ42" s="504"/>
      <c r="HA42" s="504"/>
      <c r="HB42" s="504"/>
      <c r="HC42" s="504"/>
      <c r="HD42" s="504"/>
      <c r="HE42" s="504"/>
      <c r="HF42" s="504"/>
      <c r="HG42" s="504"/>
      <c r="HH42" s="504"/>
      <c r="HI42" s="504"/>
      <c r="HJ42" s="504"/>
      <c r="HK42" s="504"/>
      <c r="HL42" s="504"/>
      <c r="HM42" s="504"/>
      <c r="HN42" s="504"/>
      <c r="HO42" s="504"/>
      <c r="HP42" s="504"/>
      <c r="HQ42" s="504"/>
    </row>
    <row r="43" spans="1:225" ht="14.4" x14ac:dyDescent="0.3">
      <c r="A43" s="235" t="s">
        <v>871</v>
      </c>
      <c r="B43" s="818">
        <v>0</v>
      </c>
      <c r="C43" s="822"/>
      <c r="D43" s="818">
        <v>0</v>
      </c>
      <c r="E43" s="822"/>
      <c r="F43" s="818">
        <v>0</v>
      </c>
      <c r="G43" s="822"/>
      <c r="H43" s="817" t="str">
        <f t="shared" si="2"/>
        <v>-</v>
      </c>
      <c r="I43" s="504" t="s">
        <v>686</v>
      </c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  <c r="AE43" s="504"/>
      <c r="AF43" s="504"/>
      <c r="AG43" s="504"/>
      <c r="AH43" s="504"/>
      <c r="AI43" s="504"/>
      <c r="AJ43" s="504"/>
      <c r="AK43" s="504"/>
      <c r="AL43" s="504"/>
      <c r="AM43" s="504"/>
      <c r="AN43" s="504"/>
      <c r="AO43" s="504"/>
      <c r="AP43" s="504"/>
      <c r="AQ43" s="504"/>
      <c r="AR43" s="504"/>
      <c r="AS43" s="504"/>
      <c r="AT43" s="504"/>
      <c r="AU43" s="504"/>
      <c r="AV43" s="504"/>
      <c r="AW43" s="504"/>
      <c r="AX43" s="504"/>
      <c r="AY43" s="504"/>
      <c r="AZ43" s="504"/>
      <c r="BA43" s="504"/>
      <c r="BB43" s="504"/>
      <c r="BC43" s="504"/>
      <c r="BD43" s="504"/>
      <c r="BE43" s="504"/>
      <c r="BF43" s="504"/>
      <c r="BG43" s="504"/>
      <c r="BH43" s="504"/>
      <c r="BI43" s="504"/>
      <c r="BJ43" s="504"/>
      <c r="BK43" s="504"/>
      <c r="BL43" s="504"/>
      <c r="BM43" s="504"/>
      <c r="BN43" s="504"/>
      <c r="BO43" s="504"/>
      <c r="BP43" s="504"/>
      <c r="BQ43" s="504"/>
      <c r="BR43" s="504"/>
      <c r="BS43" s="504"/>
      <c r="BT43" s="504"/>
      <c r="BU43" s="504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504"/>
      <c r="FS43" s="504"/>
      <c r="FT43" s="504"/>
      <c r="FU43" s="504"/>
      <c r="FV43" s="504"/>
      <c r="FW43" s="504"/>
      <c r="FX43" s="504"/>
      <c r="FY43" s="504"/>
      <c r="FZ43" s="504"/>
      <c r="GA43" s="504"/>
      <c r="GB43" s="504"/>
      <c r="GC43" s="504"/>
      <c r="GD43" s="504"/>
      <c r="GE43" s="504"/>
      <c r="GF43" s="504"/>
      <c r="GG43" s="504"/>
      <c r="GH43" s="504"/>
      <c r="GI43" s="504"/>
      <c r="GJ43" s="504"/>
      <c r="GK43" s="504"/>
      <c r="GL43" s="504"/>
      <c r="GM43" s="504"/>
      <c r="GN43" s="504"/>
      <c r="GO43" s="504"/>
      <c r="GP43" s="504"/>
      <c r="GQ43" s="504"/>
      <c r="GR43" s="504"/>
      <c r="GS43" s="504"/>
      <c r="GT43" s="504"/>
      <c r="GU43" s="504"/>
      <c r="GV43" s="504"/>
      <c r="GW43" s="504"/>
      <c r="GX43" s="504"/>
      <c r="GY43" s="504"/>
      <c r="GZ43" s="504"/>
      <c r="HA43" s="504"/>
      <c r="HB43" s="504"/>
      <c r="HC43" s="504"/>
      <c r="HD43" s="504"/>
      <c r="HE43" s="504"/>
      <c r="HF43" s="504"/>
      <c r="HG43" s="504"/>
      <c r="HH43" s="504"/>
      <c r="HI43" s="504"/>
      <c r="HJ43" s="504"/>
      <c r="HK43" s="504"/>
      <c r="HL43" s="504"/>
      <c r="HM43" s="504"/>
      <c r="HN43" s="504"/>
      <c r="HO43" s="504"/>
      <c r="HP43" s="504"/>
      <c r="HQ43" s="504"/>
    </row>
    <row r="44" spans="1:225" ht="14.4" x14ac:dyDescent="0.3">
      <c r="A44" s="235" t="s">
        <v>214</v>
      </c>
      <c r="B44" s="818">
        <v>19.667999999999999</v>
      </c>
      <c r="C44" s="822"/>
      <c r="D44" s="818">
        <v>22.780999999999999</v>
      </c>
      <c r="E44" s="822"/>
      <c r="F44" s="818">
        <v>22.672999999999998</v>
      </c>
      <c r="G44" s="822"/>
      <c r="H44" s="817">
        <f t="shared" si="2"/>
        <v>99.525920723409854</v>
      </c>
      <c r="I44" s="504" t="s">
        <v>687</v>
      </c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4"/>
      <c r="AS44" s="504"/>
      <c r="AT44" s="504"/>
      <c r="AU44" s="504"/>
      <c r="AV44" s="504"/>
      <c r="AW44" s="504"/>
      <c r="AX44" s="504"/>
      <c r="AY44" s="504"/>
      <c r="AZ44" s="504"/>
      <c r="BA44" s="504"/>
      <c r="BB44" s="504"/>
      <c r="BC44" s="504"/>
      <c r="BD44" s="504"/>
      <c r="BE44" s="504"/>
      <c r="BF44" s="504"/>
      <c r="BG44" s="504"/>
      <c r="BH44" s="504"/>
      <c r="BI44" s="504"/>
      <c r="BJ44" s="504"/>
      <c r="BK44" s="504"/>
      <c r="BL44" s="504"/>
      <c r="BM44" s="504"/>
      <c r="BN44" s="504"/>
      <c r="BO44" s="504"/>
      <c r="BP44" s="504"/>
      <c r="BQ44" s="504"/>
      <c r="BR44" s="504"/>
      <c r="BS44" s="504"/>
      <c r="BT44" s="504"/>
      <c r="BU44" s="50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 s="504"/>
      <c r="FS44" s="504"/>
      <c r="FT44" s="504"/>
      <c r="FU44" s="504"/>
      <c r="FV44" s="504"/>
      <c r="FW44" s="504"/>
      <c r="FX44" s="504"/>
      <c r="FY44" s="504"/>
      <c r="FZ44" s="504"/>
      <c r="GA44" s="504"/>
      <c r="GB44" s="504"/>
      <c r="GC44" s="504"/>
      <c r="GD44" s="504"/>
      <c r="GE44" s="504"/>
      <c r="GF44" s="504"/>
      <c r="GG44" s="504"/>
      <c r="GH44" s="504"/>
      <c r="GI44" s="504"/>
      <c r="GJ44" s="504"/>
      <c r="GK44" s="504"/>
      <c r="GL44" s="504"/>
      <c r="GM44" s="504"/>
      <c r="GN44" s="504"/>
      <c r="GO44" s="504"/>
      <c r="GP44" s="504"/>
      <c r="GQ44" s="504"/>
      <c r="GR44" s="504"/>
      <c r="GS44" s="504"/>
      <c r="GT44" s="504"/>
      <c r="GU44" s="504"/>
      <c r="GV44" s="504"/>
      <c r="GW44" s="504"/>
      <c r="GX44" s="504"/>
      <c r="GY44" s="504"/>
      <c r="GZ44" s="504"/>
      <c r="HA44" s="504"/>
      <c r="HB44" s="504"/>
      <c r="HC44" s="504"/>
      <c r="HD44" s="504"/>
      <c r="HE44" s="504"/>
      <c r="HF44" s="504"/>
      <c r="HG44" s="504"/>
      <c r="HH44" s="504"/>
      <c r="HI44" s="504"/>
      <c r="HJ44" s="504"/>
      <c r="HK44" s="504"/>
      <c r="HL44" s="504"/>
      <c r="HM44" s="504"/>
      <c r="HN44" s="504"/>
      <c r="HO44" s="504"/>
      <c r="HP44" s="504"/>
      <c r="HQ44" s="504"/>
    </row>
    <row r="45" spans="1:225" ht="14.4" x14ac:dyDescent="0.3">
      <c r="A45" s="235" t="s">
        <v>872</v>
      </c>
      <c r="B45" s="818">
        <v>1.29</v>
      </c>
      <c r="C45" s="822"/>
      <c r="D45" s="818">
        <v>1.1339999999999999</v>
      </c>
      <c r="E45" s="822"/>
      <c r="F45" s="818">
        <v>1.7330000000000001</v>
      </c>
      <c r="G45" s="822"/>
      <c r="H45" s="817">
        <f t="shared" si="2"/>
        <v>152.82186948853618</v>
      </c>
      <c r="I45" s="504" t="s">
        <v>688</v>
      </c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  <c r="AF45" s="504"/>
      <c r="AG45" s="504"/>
      <c r="AH45" s="504"/>
      <c r="AI45" s="504"/>
      <c r="AJ45" s="504"/>
      <c r="AK45" s="504"/>
      <c r="AL45" s="504"/>
      <c r="AM45" s="504"/>
      <c r="AN45" s="504"/>
      <c r="AO45" s="504"/>
      <c r="AP45" s="504"/>
      <c r="AQ45" s="504"/>
      <c r="AR45" s="504"/>
      <c r="AS45" s="504"/>
      <c r="AT45" s="504"/>
      <c r="AU45" s="504"/>
      <c r="AV45" s="504"/>
      <c r="AW45" s="504"/>
      <c r="AX45" s="504"/>
      <c r="AY45" s="504"/>
      <c r="AZ45" s="504"/>
      <c r="BA45" s="504"/>
      <c r="BB45" s="504"/>
      <c r="BC45" s="504"/>
      <c r="BD45" s="504"/>
      <c r="BE45" s="504"/>
      <c r="BF45" s="504"/>
      <c r="BG45" s="504"/>
      <c r="BH45" s="504"/>
      <c r="BI45" s="504"/>
      <c r="BJ45" s="504"/>
      <c r="BK45" s="504"/>
      <c r="BL45" s="504"/>
      <c r="BM45" s="504"/>
      <c r="BN45" s="504"/>
      <c r="BO45" s="504"/>
      <c r="BP45" s="504"/>
      <c r="BQ45" s="504"/>
      <c r="BR45" s="504"/>
      <c r="BS45" s="504"/>
      <c r="BT45" s="504"/>
      <c r="BU45" s="504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 s="504"/>
      <c r="FS45" s="504"/>
      <c r="FT45" s="504"/>
      <c r="FU45" s="504"/>
      <c r="FV45" s="504"/>
      <c r="FW45" s="504"/>
      <c r="FX45" s="504"/>
      <c r="FY45" s="504"/>
      <c r="FZ45" s="504"/>
      <c r="GA45" s="504"/>
      <c r="GB45" s="504"/>
      <c r="GC45" s="504"/>
      <c r="GD45" s="504"/>
      <c r="GE45" s="504"/>
      <c r="GF45" s="504"/>
      <c r="GG45" s="504"/>
      <c r="GH45" s="504"/>
      <c r="GI45" s="504"/>
      <c r="GJ45" s="504"/>
      <c r="GK45" s="504"/>
      <c r="GL45" s="504"/>
      <c r="GM45" s="504"/>
      <c r="GN45" s="504"/>
      <c r="GO45" s="504"/>
      <c r="GP45" s="504"/>
      <c r="GQ45" s="504"/>
      <c r="GR45" s="504"/>
      <c r="GS45" s="504"/>
      <c r="GT45" s="504"/>
      <c r="GU45" s="504"/>
      <c r="GV45" s="504"/>
      <c r="GW45" s="504"/>
      <c r="GX45" s="504"/>
      <c r="GY45" s="504"/>
      <c r="GZ45" s="504"/>
      <c r="HA45" s="504"/>
      <c r="HB45" s="504"/>
      <c r="HC45" s="504"/>
      <c r="HD45" s="504"/>
      <c r="HE45" s="504"/>
      <c r="HF45" s="504"/>
      <c r="HG45" s="504"/>
      <c r="HH45" s="504"/>
      <c r="HI45" s="504"/>
      <c r="HJ45" s="504"/>
      <c r="HK45" s="504"/>
      <c r="HL45" s="504"/>
      <c r="HM45" s="504"/>
      <c r="HN45" s="504"/>
      <c r="HO45" s="504"/>
      <c r="HP45" s="504"/>
      <c r="HQ45" s="504"/>
    </row>
    <row r="46" spans="1:225" ht="14.4" x14ac:dyDescent="0.3">
      <c r="A46" s="235" t="s">
        <v>873</v>
      </c>
      <c r="B46" s="818">
        <v>1.3839999999999999</v>
      </c>
      <c r="C46" s="822"/>
      <c r="D46" s="818">
        <v>0.92200000000000004</v>
      </c>
      <c r="E46" s="822"/>
      <c r="F46" s="818">
        <v>0.67200000000000004</v>
      </c>
      <c r="G46" s="822"/>
      <c r="H46" s="817">
        <f t="shared" si="2"/>
        <v>72.885032537960953</v>
      </c>
      <c r="I46" s="504" t="s">
        <v>689</v>
      </c>
      <c r="J46" s="504"/>
      <c r="K46" s="504"/>
      <c r="L46" s="504"/>
      <c r="M46" s="504"/>
      <c r="N46" s="504"/>
      <c r="O46" s="504"/>
      <c r="P46" s="504"/>
      <c r="Q46" s="504"/>
      <c r="R46" s="504"/>
      <c r="S46" s="504"/>
      <c r="T46" s="504"/>
      <c r="U46" s="504"/>
      <c r="V46" s="504"/>
      <c r="W46" s="504"/>
      <c r="X46" s="504"/>
      <c r="Y46" s="504"/>
      <c r="Z46" s="504"/>
      <c r="AA46" s="504"/>
      <c r="AB46" s="504"/>
      <c r="AC46" s="504"/>
      <c r="AD46" s="504"/>
      <c r="AE46" s="504"/>
      <c r="AF46" s="504"/>
      <c r="AG46" s="504"/>
      <c r="AH46" s="504"/>
      <c r="AI46" s="504"/>
      <c r="AJ46" s="504"/>
      <c r="AK46" s="504"/>
      <c r="AL46" s="504"/>
      <c r="AM46" s="504"/>
      <c r="AN46" s="504"/>
      <c r="AO46" s="504"/>
      <c r="AP46" s="504"/>
      <c r="AQ46" s="504"/>
      <c r="AR46" s="504"/>
      <c r="AS46" s="504"/>
      <c r="AT46" s="504"/>
      <c r="AU46" s="504"/>
      <c r="AV46" s="504"/>
      <c r="AW46" s="504"/>
      <c r="AX46" s="504"/>
      <c r="AY46" s="504"/>
      <c r="AZ46" s="504"/>
      <c r="BA46" s="504"/>
      <c r="BB46" s="504"/>
      <c r="BC46" s="504"/>
      <c r="BD46" s="504"/>
      <c r="BE46" s="504"/>
      <c r="BF46" s="504"/>
      <c r="BG46" s="504"/>
      <c r="BH46" s="504"/>
      <c r="BI46" s="504"/>
      <c r="BJ46" s="504"/>
      <c r="BK46" s="504"/>
      <c r="BL46" s="504"/>
      <c r="BM46" s="504"/>
      <c r="BN46" s="504"/>
      <c r="BO46" s="504"/>
      <c r="BP46" s="504"/>
      <c r="BQ46" s="504"/>
      <c r="BR46" s="504"/>
      <c r="BS46" s="504"/>
      <c r="BT46" s="504"/>
      <c r="BU46" s="504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504"/>
      <c r="FS46" s="504"/>
      <c r="FT46" s="504"/>
      <c r="FU46" s="504"/>
      <c r="FV46" s="504"/>
      <c r="FW46" s="504"/>
      <c r="FX46" s="504"/>
      <c r="FY46" s="504"/>
      <c r="FZ46" s="504"/>
      <c r="GA46" s="504"/>
      <c r="GB46" s="504"/>
      <c r="GC46" s="504"/>
      <c r="GD46" s="504"/>
      <c r="GE46" s="504"/>
      <c r="GF46" s="504"/>
      <c r="GG46" s="504"/>
      <c r="GH46" s="504"/>
      <c r="GI46" s="504"/>
      <c r="GJ46" s="504"/>
      <c r="GK46" s="504"/>
      <c r="GL46" s="504"/>
      <c r="GM46" s="504"/>
      <c r="GN46" s="504"/>
      <c r="GO46" s="504"/>
      <c r="GP46" s="504"/>
      <c r="GQ46" s="504"/>
      <c r="GR46" s="504"/>
      <c r="GS46" s="504"/>
      <c r="GT46" s="504"/>
      <c r="GU46" s="504"/>
      <c r="GV46" s="504"/>
      <c r="GW46" s="504"/>
      <c r="GX46" s="504"/>
      <c r="GY46" s="504"/>
      <c r="GZ46" s="504"/>
      <c r="HA46" s="504"/>
      <c r="HB46" s="504"/>
      <c r="HC46" s="504"/>
      <c r="HD46" s="504"/>
      <c r="HE46" s="504"/>
      <c r="HF46" s="504"/>
      <c r="HG46" s="504"/>
      <c r="HH46" s="504"/>
      <c r="HI46" s="504"/>
      <c r="HJ46" s="504"/>
      <c r="HK46" s="504"/>
      <c r="HL46" s="504"/>
      <c r="HM46" s="504"/>
      <c r="HN46" s="504"/>
      <c r="HO46" s="504"/>
      <c r="HP46" s="504"/>
      <c r="HQ46" s="504"/>
    </row>
    <row r="47" spans="1:225" s="219" customFormat="1" ht="14.4" x14ac:dyDescent="0.3">
      <c r="A47" s="506" t="s">
        <v>874</v>
      </c>
      <c r="B47" s="820">
        <v>189.27199999999999</v>
      </c>
      <c r="C47" s="823"/>
      <c r="D47" s="820">
        <v>247.16</v>
      </c>
      <c r="E47" s="823"/>
      <c r="F47" s="820">
        <v>266.92700000000002</v>
      </c>
      <c r="G47" s="823"/>
      <c r="H47" s="817">
        <f t="shared" si="2"/>
        <v>107.99765334196472</v>
      </c>
      <c r="I47" s="508" t="s">
        <v>690</v>
      </c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8"/>
      <c r="AQ47" s="508"/>
      <c r="AR47" s="508"/>
      <c r="AS47" s="508"/>
      <c r="AT47" s="508"/>
      <c r="AU47" s="508"/>
      <c r="AV47" s="508"/>
      <c r="AW47" s="508"/>
      <c r="AX47" s="508"/>
      <c r="AY47" s="508"/>
      <c r="AZ47" s="508"/>
      <c r="BA47" s="508"/>
      <c r="BB47" s="508"/>
      <c r="BC47" s="508"/>
      <c r="BD47" s="508"/>
      <c r="BE47" s="508"/>
      <c r="BF47" s="508"/>
      <c r="BG47" s="508"/>
      <c r="BH47" s="508"/>
      <c r="BI47" s="508"/>
      <c r="BJ47" s="508"/>
      <c r="BK47" s="508"/>
      <c r="BL47" s="508"/>
      <c r="BM47" s="508"/>
      <c r="BN47" s="508"/>
      <c r="BO47" s="508"/>
      <c r="BP47" s="508"/>
      <c r="BQ47" s="508"/>
      <c r="BR47" s="508"/>
      <c r="BS47" s="508"/>
      <c r="BT47" s="508"/>
      <c r="BU47" s="508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508"/>
      <c r="FS47" s="508"/>
      <c r="FT47" s="508"/>
      <c r="FU47" s="508"/>
      <c r="FV47" s="508"/>
      <c r="FW47" s="508"/>
      <c r="FX47" s="508"/>
      <c r="FY47" s="508"/>
      <c r="FZ47" s="508"/>
      <c r="GA47" s="508"/>
      <c r="GB47" s="508"/>
      <c r="GC47" s="508"/>
      <c r="GD47" s="508"/>
      <c r="GE47" s="508"/>
      <c r="GF47" s="508"/>
      <c r="GG47" s="508"/>
      <c r="GH47" s="508"/>
      <c r="GI47" s="508"/>
      <c r="GJ47" s="508"/>
      <c r="GK47" s="508"/>
      <c r="GL47" s="508"/>
      <c r="GM47" s="508"/>
      <c r="GN47" s="508"/>
      <c r="GO47" s="508"/>
      <c r="GP47" s="508"/>
      <c r="GQ47" s="508"/>
      <c r="GR47" s="508"/>
      <c r="GS47" s="508"/>
      <c r="GT47" s="508"/>
      <c r="GU47" s="508"/>
      <c r="GV47" s="508"/>
      <c r="GW47" s="508"/>
      <c r="GX47" s="508"/>
      <c r="GY47" s="508"/>
      <c r="GZ47" s="508"/>
      <c r="HA47" s="508"/>
      <c r="HB47" s="508"/>
      <c r="HC47" s="508"/>
      <c r="HD47" s="508"/>
      <c r="HE47" s="508"/>
      <c r="HF47" s="508"/>
      <c r="HG47" s="508"/>
      <c r="HH47" s="508"/>
      <c r="HI47" s="508"/>
      <c r="HJ47" s="508"/>
      <c r="HK47" s="508"/>
      <c r="HL47" s="508"/>
      <c r="HM47" s="508"/>
      <c r="HN47" s="508"/>
      <c r="HO47" s="508"/>
      <c r="HP47" s="508"/>
      <c r="HQ47" s="508"/>
    </row>
    <row r="48" spans="1:225" ht="15" thickBot="1" x14ac:dyDescent="0.35">
      <c r="A48" s="509" t="s">
        <v>875</v>
      </c>
      <c r="B48" s="824">
        <v>0</v>
      </c>
      <c r="C48" s="825"/>
      <c r="D48" s="824">
        <v>0</v>
      </c>
      <c r="E48" s="825"/>
      <c r="F48" s="824">
        <v>0</v>
      </c>
      <c r="G48" s="825"/>
      <c r="H48" s="826" t="str">
        <f t="shared" si="2"/>
        <v>-</v>
      </c>
      <c r="I48" s="504" t="s">
        <v>691</v>
      </c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  <c r="AE48" s="504"/>
      <c r="AF48" s="504"/>
      <c r="AG48" s="504"/>
      <c r="AH48" s="504"/>
      <c r="AI48" s="504"/>
      <c r="AJ48" s="504"/>
      <c r="AK48" s="504"/>
      <c r="AL48" s="504"/>
      <c r="AM48" s="504"/>
      <c r="AN48" s="504"/>
      <c r="AO48" s="504"/>
      <c r="AP48" s="504"/>
      <c r="AQ48" s="504"/>
      <c r="AR48" s="504"/>
      <c r="AS48" s="504"/>
      <c r="AT48" s="504"/>
      <c r="AU48" s="504"/>
      <c r="AV48" s="504"/>
      <c r="AW48" s="504"/>
      <c r="AX48" s="504"/>
      <c r="AY48" s="504"/>
      <c r="AZ48" s="504"/>
      <c r="BA48" s="504"/>
      <c r="BB48" s="504"/>
      <c r="BC48" s="504"/>
      <c r="BD48" s="504"/>
      <c r="BE48" s="504"/>
      <c r="BF48" s="504"/>
      <c r="BG48" s="504"/>
      <c r="BH48" s="504"/>
      <c r="BI48" s="504"/>
      <c r="BJ48" s="504"/>
      <c r="BK48" s="504"/>
      <c r="BL48" s="504"/>
      <c r="BM48" s="504"/>
      <c r="BN48" s="504"/>
      <c r="BO48" s="504"/>
      <c r="BP48" s="504"/>
      <c r="BQ48" s="504"/>
      <c r="BR48" s="504"/>
      <c r="BS48" s="504"/>
      <c r="BT48" s="504"/>
      <c r="BU48" s="504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504"/>
      <c r="FS48" s="504"/>
      <c r="FT48" s="504"/>
      <c r="FU48" s="504"/>
      <c r="FV48" s="504"/>
      <c r="FW48" s="504"/>
      <c r="FX48" s="504"/>
      <c r="FY48" s="504"/>
      <c r="FZ48" s="504"/>
      <c r="GA48" s="504"/>
      <c r="GB48" s="504"/>
      <c r="GC48" s="504"/>
      <c r="GD48" s="504"/>
      <c r="GE48" s="504"/>
      <c r="GF48" s="504"/>
      <c r="GG48" s="504"/>
      <c r="GH48" s="504"/>
      <c r="GI48" s="504"/>
      <c r="GJ48" s="504"/>
      <c r="GK48" s="504"/>
      <c r="GL48" s="504"/>
      <c r="GM48" s="504"/>
      <c r="GN48" s="504"/>
      <c r="GO48" s="504"/>
      <c r="GP48" s="504"/>
      <c r="GQ48" s="504"/>
      <c r="GR48" s="504"/>
      <c r="GS48" s="504"/>
      <c r="GT48" s="504"/>
      <c r="GU48" s="504"/>
      <c r="GV48" s="504"/>
      <c r="GW48" s="504"/>
      <c r="GX48" s="504"/>
      <c r="GY48" s="504"/>
      <c r="GZ48" s="504"/>
      <c r="HA48" s="504"/>
      <c r="HB48" s="504"/>
      <c r="HC48" s="504"/>
      <c r="HD48" s="504"/>
      <c r="HE48" s="504"/>
      <c r="HF48" s="504"/>
      <c r="HG48" s="504"/>
      <c r="HH48" s="504"/>
      <c r="HI48" s="504"/>
      <c r="HJ48" s="504"/>
      <c r="HK48" s="504"/>
      <c r="HL48" s="504"/>
      <c r="HM48" s="504"/>
      <c r="HN48" s="504"/>
      <c r="HO48" s="504"/>
      <c r="HP48" s="504"/>
      <c r="HQ48" s="504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436" t="s">
        <v>961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2" t="s">
        <v>602</v>
      </c>
      <c r="B2" s="361"/>
      <c r="C2" s="142"/>
      <c r="D2" s="142"/>
      <c r="E2" s="142"/>
      <c r="F2" s="142"/>
      <c r="G2" s="142"/>
      <c r="H2" s="142"/>
      <c r="I2" s="142"/>
      <c r="J2" s="142"/>
      <c r="K2" s="324" t="s">
        <v>766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958" t="s">
        <v>150</v>
      </c>
      <c r="B3" s="960" t="s">
        <v>153</v>
      </c>
      <c r="C3" s="961"/>
      <c r="D3" s="961"/>
      <c r="E3" s="952" t="s">
        <v>134</v>
      </c>
      <c r="F3" s="960" t="s">
        <v>154</v>
      </c>
      <c r="G3" s="961"/>
      <c r="H3" s="961"/>
      <c r="I3" s="952" t="s">
        <v>155</v>
      </c>
      <c r="J3" s="848" t="s">
        <v>156</v>
      </c>
      <c r="K3" s="846" t="s">
        <v>767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959"/>
      <c r="B4" s="236">
        <v>1</v>
      </c>
      <c r="C4" s="342">
        <v>2</v>
      </c>
      <c r="D4" s="342">
        <v>3</v>
      </c>
      <c r="E4" s="962"/>
      <c r="F4" s="342">
        <v>1</v>
      </c>
      <c r="G4" s="342">
        <v>2</v>
      </c>
      <c r="H4" s="342">
        <v>3</v>
      </c>
      <c r="I4" s="962"/>
      <c r="J4" s="842"/>
      <c r="K4" s="85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96" t="s">
        <v>157</v>
      </c>
      <c r="B5" s="404">
        <f>SUM(B6:B26)</f>
        <v>2969.5950000000003</v>
      </c>
      <c r="C5" s="405">
        <f t="shared" ref="C5:D5" si="0">SUM(C6:C26)</f>
        <v>490.53499999999997</v>
      </c>
      <c r="D5" s="405">
        <f t="shared" si="0"/>
        <v>123.008</v>
      </c>
      <c r="E5" s="406">
        <f t="shared" ref="E5:E31" si="1">B5+C5+D5</f>
        <v>3583.1379999999999</v>
      </c>
      <c r="F5" s="405">
        <f>SUM(F6:F26)</f>
        <v>38.830999999999996</v>
      </c>
      <c r="G5" s="405">
        <f t="shared" ref="G5" si="2">SUM(G6:G26)</f>
        <v>52.758000000000003</v>
      </c>
      <c r="H5" s="405">
        <f t="shared" ref="H5" si="3">SUM(H6:H26)</f>
        <v>89.271000000000001</v>
      </c>
      <c r="I5" s="406">
        <f t="shared" ref="I5:I31" si="4">F5+G5+H5</f>
        <v>180.86</v>
      </c>
      <c r="J5" s="407">
        <f t="shared" ref="J5:J31" si="5">IF(E5&lt;&gt;0,D5*100/E5,"-")</f>
        <v>3.4329685320520729</v>
      </c>
      <c r="K5" s="407">
        <f t="shared" ref="K5:K31" si="6">IF(D5&lt;&gt;0,H5*100/D5,"-")</f>
        <v>72.573328563995844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399" t="s">
        <v>158</v>
      </c>
      <c r="B6" s="400">
        <v>50.057000000000002</v>
      </c>
      <c r="C6" s="401">
        <v>19.885000000000002</v>
      </c>
      <c r="D6" s="401">
        <v>3.2010000000000001</v>
      </c>
      <c r="E6" s="402">
        <f t="shared" si="1"/>
        <v>73.143000000000001</v>
      </c>
      <c r="F6" s="401">
        <v>0.71699999999999997</v>
      </c>
      <c r="G6" s="401">
        <v>1.5189999999999999</v>
      </c>
      <c r="H6" s="401">
        <v>2.968</v>
      </c>
      <c r="I6" s="402">
        <f t="shared" si="4"/>
        <v>5.2039999999999997</v>
      </c>
      <c r="J6" s="403">
        <f t="shared" si="5"/>
        <v>4.3763586399245318</v>
      </c>
      <c r="K6" s="403">
        <f t="shared" si="6"/>
        <v>92.721024679787561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383" t="s">
        <v>159</v>
      </c>
      <c r="B7" s="384">
        <v>22.507999999999999</v>
      </c>
      <c r="C7" s="385">
        <v>8.0839999999999996</v>
      </c>
      <c r="D7" s="385">
        <v>1.0900000000000001</v>
      </c>
      <c r="E7" s="386">
        <f t="shared" si="1"/>
        <v>31.681999999999999</v>
      </c>
      <c r="F7" s="385">
        <v>0.20599999999999999</v>
      </c>
      <c r="G7" s="385">
        <v>0.63300000000000001</v>
      </c>
      <c r="H7" s="385">
        <v>0.83199999999999996</v>
      </c>
      <c r="I7" s="386">
        <f t="shared" si="4"/>
        <v>1.6709999999999998</v>
      </c>
      <c r="J7" s="387">
        <f t="shared" si="5"/>
        <v>3.4404393662016295</v>
      </c>
      <c r="K7" s="387">
        <f t="shared" si="6"/>
        <v>76.330275229357795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383" t="s">
        <v>160</v>
      </c>
      <c r="B8" s="384">
        <v>477.339</v>
      </c>
      <c r="C8" s="385">
        <v>88.745000000000005</v>
      </c>
      <c r="D8" s="385">
        <v>27.195</v>
      </c>
      <c r="E8" s="386">
        <f t="shared" si="1"/>
        <v>593.27900000000011</v>
      </c>
      <c r="F8" s="385">
        <v>6.8920000000000003</v>
      </c>
      <c r="G8" s="385">
        <v>14.117000000000001</v>
      </c>
      <c r="H8" s="385">
        <v>21.114000000000001</v>
      </c>
      <c r="I8" s="386">
        <f t="shared" si="4"/>
        <v>42.123000000000005</v>
      </c>
      <c r="J8" s="387">
        <f t="shared" si="5"/>
        <v>4.5838467230426145</v>
      </c>
      <c r="K8" s="387">
        <f t="shared" si="6"/>
        <v>77.639271924986218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383" t="s">
        <v>161</v>
      </c>
      <c r="B9" s="384">
        <v>426.04199999999997</v>
      </c>
      <c r="C9" s="385">
        <v>41.652000000000001</v>
      </c>
      <c r="D9" s="385">
        <v>0.41599999999999998</v>
      </c>
      <c r="E9" s="386">
        <f t="shared" si="1"/>
        <v>468.10999999999996</v>
      </c>
      <c r="F9" s="385">
        <v>5.8040000000000003</v>
      </c>
      <c r="G9" s="385">
        <v>3.363</v>
      </c>
      <c r="H9" s="385">
        <v>0.41599999999999998</v>
      </c>
      <c r="I9" s="386">
        <f t="shared" si="4"/>
        <v>9.5830000000000002</v>
      </c>
      <c r="J9" s="387">
        <f t="shared" si="5"/>
        <v>8.8868001110850026E-2</v>
      </c>
      <c r="K9" s="387">
        <f t="shared" si="6"/>
        <v>100.00000000000001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383" t="s">
        <v>162</v>
      </c>
      <c r="B10" s="384">
        <v>29.59</v>
      </c>
      <c r="C10" s="385">
        <v>5.1539999999999999</v>
      </c>
      <c r="D10" s="385">
        <v>0.435</v>
      </c>
      <c r="E10" s="386">
        <f t="shared" si="1"/>
        <v>35.179000000000002</v>
      </c>
      <c r="F10" s="385">
        <v>0.35399999999999998</v>
      </c>
      <c r="G10" s="385">
        <v>0.51400000000000001</v>
      </c>
      <c r="H10" s="385">
        <v>0.41</v>
      </c>
      <c r="I10" s="386">
        <f t="shared" si="4"/>
        <v>1.278</v>
      </c>
      <c r="J10" s="387">
        <f t="shared" si="5"/>
        <v>1.2365331589868955</v>
      </c>
      <c r="K10" s="387">
        <f t="shared" si="6"/>
        <v>94.252873563218387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383" t="s">
        <v>163</v>
      </c>
      <c r="B11" s="384">
        <v>308.18700000000001</v>
      </c>
      <c r="C11" s="385">
        <v>101.81399999999999</v>
      </c>
      <c r="D11" s="385">
        <v>29.141999999999999</v>
      </c>
      <c r="E11" s="386">
        <f t="shared" si="1"/>
        <v>439.14299999999997</v>
      </c>
      <c r="F11" s="385">
        <v>3.8690000000000002</v>
      </c>
      <c r="G11" s="385">
        <v>12.659000000000001</v>
      </c>
      <c r="H11" s="385">
        <v>17.048999999999999</v>
      </c>
      <c r="I11" s="386">
        <f t="shared" si="4"/>
        <v>33.576999999999998</v>
      </c>
      <c r="J11" s="387">
        <f t="shared" si="5"/>
        <v>6.6361071450529785</v>
      </c>
      <c r="K11" s="387">
        <f t="shared" si="6"/>
        <v>58.503191270331477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383" t="s">
        <v>164</v>
      </c>
      <c r="B12" s="384">
        <v>529.63400000000001</v>
      </c>
      <c r="C12" s="385">
        <v>82.659000000000006</v>
      </c>
      <c r="D12" s="385">
        <v>30.183</v>
      </c>
      <c r="E12" s="386">
        <f t="shared" si="1"/>
        <v>642.476</v>
      </c>
      <c r="F12" s="385">
        <v>6.3860000000000001</v>
      </c>
      <c r="G12" s="385">
        <v>6.024</v>
      </c>
      <c r="H12" s="385">
        <v>25.286000000000001</v>
      </c>
      <c r="I12" s="386">
        <f t="shared" si="4"/>
        <v>37.695999999999998</v>
      </c>
      <c r="J12" s="387">
        <f t="shared" si="5"/>
        <v>4.6979186771179</v>
      </c>
      <c r="K12" s="387">
        <f t="shared" si="6"/>
        <v>83.775635291389207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383" t="s">
        <v>165</v>
      </c>
      <c r="B13" s="384">
        <v>141.18100000000001</v>
      </c>
      <c r="C13" s="385">
        <v>13.734999999999999</v>
      </c>
      <c r="D13" s="385">
        <v>12.097</v>
      </c>
      <c r="E13" s="386">
        <f t="shared" si="1"/>
        <v>167.01300000000001</v>
      </c>
      <c r="F13" s="385">
        <v>1.972</v>
      </c>
      <c r="G13" s="385">
        <v>1.3109999999999999</v>
      </c>
      <c r="H13" s="385">
        <v>8.0459999999999994</v>
      </c>
      <c r="I13" s="386">
        <f t="shared" si="4"/>
        <v>11.328999999999999</v>
      </c>
      <c r="J13" s="387">
        <f t="shared" si="5"/>
        <v>7.2431487369246703</v>
      </c>
      <c r="K13" s="387">
        <f t="shared" si="6"/>
        <v>66.512358435975855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383" t="s">
        <v>166</v>
      </c>
      <c r="B14" s="384">
        <v>48.395000000000003</v>
      </c>
      <c r="C14" s="385">
        <v>26.881</v>
      </c>
      <c r="D14" s="385">
        <v>3.7269999999999999</v>
      </c>
      <c r="E14" s="386">
        <f t="shared" si="1"/>
        <v>79.003000000000014</v>
      </c>
      <c r="F14" s="385">
        <v>0.53700000000000003</v>
      </c>
      <c r="G14" s="385">
        <v>3.2669999999999999</v>
      </c>
      <c r="H14" s="385">
        <v>1.873</v>
      </c>
      <c r="I14" s="386">
        <f t="shared" si="4"/>
        <v>5.6769999999999996</v>
      </c>
      <c r="J14" s="387">
        <f t="shared" si="5"/>
        <v>4.7175423718086646</v>
      </c>
      <c r="K14" s="387">
        <f t="shared" si="6"/>
        <v>50.254896699758525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383" t="s">
        <v>167</v>
      </c>
      <c r="B15" s="384">
        <v>42.223999999999997</v>
      </c>
      <c r="C15" s="385">
        <v>22.701000000000001</v>
      </c>
      <c r="D15" s="385">
        <v>6.8490000000000002</v>
      </c>
      <c r="E15" s="386">
        <f t="shared" si="1"/>
        <v>71.774000000000001</v>
      </c>
      <c r="F15" s="385">
        <v>0.51100000000000001</v>
      </c>
      <c r="G15" s="385">
        <v>2.6539999999999999</v>
      </c>
      <c r="H15" s="385">
        <v>4.9960000000000004</v>
      </c>
      <c r="I15" s="386">
        <f t="shared" si="4"/>
        <v>8.1610000000000014</v>
      </c>
      <c r="J15" s="387">
        <f t="shared" si="5"/>
        <v>9.5424526987488498</v>
      </c>
      <c r="K15" s="387">
        <f t="shared" si="6"/>
        <v>72.94495546795153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383" t="s">
        <v>168</v>
      </c>
      <c r="B16" s="384">
        <v>187.92699999999999</v>
      </c>
      <c r="C16" s="385">
        <v>0.375</v>
      </c>
      <c r="D16" s="385">
        <v>0</v>
      </c>
      <c r="E16" s="386">
        <f t="shared" si="1"/>
        <v>188.30199999999999</v>
      </c>
      <c r="F16" s="385">
        <v>2.7770000000000001</v>
      </c>
      <c r="G16" s="385">
        <v>2.1000000000000001E-2</v>
      </c>
      <c r="H16" s="385">
        <v>0</v>
      </c>
      <c r="I16" s="386">
        <f t="shared" si="4"/>
        <v>2.798</v>
      </c>
      <c r="J16" s="387">
        <f t="shared" si="5"/>
        <v>0</v>
      </c>
      <c r="K16" s="387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383" t="s">
        <v>169</v>
      </c>
      <c r="B17" s="384">
        <v>54.076000000000001</v>
      </c>
      <c r="C17" s="385">
        <v>5.7519999999999998</v>
      </c>
      <c r="D17" s="385">
        <v>6.43</v>
      </c>
      <c r="E17" s="386">
        <f t="shared" si="1"/>
        <v>66.25800000000001</v>
      </c>
      <c r="F17" s="385">
        <v>0.83</v>
      </c>
      <c r="G17" s="385">
        <v>1.2689999999999999</v>
      </c>
      <c r="H17" s="385">
        <v>4.2789999999999999</v>
      </c>
      <c r="I17" s="386">
        <f t="shared" si="4"/>
        <v>6.3780000000000001</v>
      </c>
      <c r="J17" s="387">
        <f t="shared" si="5"/>
        <v>9.7044885145944626</v>
      </c>
      <c r="K17" s="387">
        <f t="shared" si="6"/>
        <v>66.547433903576987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383" t="s">
        <v>170</v>
      </c>
      <c r="B18" s="384">
        <v>64.055999999999997</v>
      </c>
      <c r="C18" s="385">
        <v>24.189</v>
      </c>
      <c r="D18" s="385">
        <v>0.83499999999999996</v>
      </c>
      <c r="E18" s="386">
        <f t="shared" si="1"/>
        <v>89.08</v>
      </c>
      <c r="F18" s="385">
        <v>0.83799999999999997</v>
      </c>
      <c r="G18" s="385">
        <v>1.552</v>
      </c>
      <c r="H18" s="385">
        <v>0.68899999999999995</v>
      </c>
      <c r="I18" s="386">
        <f t="shared" si="4"/>
        <v>3.0790000000000002</v>
      </c>
      <c r="J18" s="387">
        <f t="shared" si="5"/>
        <v>0.93735967669510556</v>
      </c>
      <c r="K18" s="387">
        <f t="shared" si="6"/>
        <v>82.514970059880227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383" t="s">
        <v>171</v>
      </c>
      <c r="B19" s="384">
        <v>20.189</v>
      </c>
      <c r="C19" s="385">
        <v>6.7160000000000002</v>
      </c>
      <c r="D19" s="385">
        <v>0.375</v>
      </c>
      <c r="E19" s="386">
        <f t="shared" si="1"/>
        <v>27.28</v>
      </c>
      <c r="F19" s="385">
        <v>0.25800000000000001</v>
      </c>
      <c r="G19" s="385">
        <v>0.36199999999999999</v>
      </c>
      <c r="H19" s="385">
        <v>0.36099999999999999</v>
      </c>
      <c r="I19" s="386">
        <f t="shared" si="4"/>
        <v>0.98099999999999998</v>
      </c>
      <c r="J19" s="387">
        <f t="shared" si="5"/>
        <v>1.3746334310850439</v>
      </c>
      <c r="K19" s="387">
        <f t="shared" si="6"/>
        <v>96.266666666666666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383" t="s">
        <v>172</v>
      </c>
      <c r="B20" s="384">
        <v>466.18700000000001</v>
      </c>
      <c r="C20" s="385">
        <v>19.526</v>
      </c>
      <c r="D20" s="385">
        <v>0.27</v>
      </c>
      <c r="E20" s="386">
        <f t="shared" si="1"/>
        <v>485.983</v>
      </c>
      <c r="F20" s="385">
        <v>6.26</v>
      </c>
      <c r="G20" s="385">
        <v>1.919</v>
      </c>
      <c r="H20" s="385">
        <v>0.27</v>
      </c>
      <c r="I20" s="386">
        <f t="shared" si="4"/>
        <v>8.4489999999999998</v>
      </c>
      <c r="J20" s="387">
        <f t="shared" si="5"/>
        <v>5.5557498924859512E-2</v>
      </c>
      <c r="K20" s="387">
        <f t="shared" si="6"/>
        <v>100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383" t="s">
        <v>173</v>
      </c>
      <c r="B21" s="384">
        <v>2.141</v>
      </c>
      <c r="C21" s="385">
        <v>2.1080000000000001</v>
      </c>
      <c r="D21" s="385">
        <v>7.0000000000000007E-2</v>
      </c>
      <c r="E21" s="386">
        <f t="shared" si="1"/>
        <v>4.3190000000000008</v>
      </c>
      <c r="F21" s="385">
        <v>2.4E-2</v>
      </c>
      <c r="G21" s="385">
        <v>0.18</v>
      </c>
      <c r="H21" s="385">
        <v>6.2E-2</v>
      </c>
      <c r="I21" s="386">
        <f t="shared" si="4"/>
        <v>0.26600000000000001</v>
      </c>
      <c r="J21" s="387">
        <f t="shared" si="5"/>
        <v>1.6207455429497568</v>
      </c>
      <c r="K21" s="387">
        <f t="shared" si="6"/>
        <v>88.571428571428569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383" t="s">
        <v>174</v>
      </c>
      <c r="B22" s="384">
        <v>86.888999999999996</v>
      </c>
      <c r="C22" s="385">
        <v>14.763</v>
      </c>
      <c r="D22" s="385">
        <v>0.624</v>
      </c>
      <c r="E22" s="386">
        <f t="shared" si="1"/>
        <v>102.276</v>
      </c>
      <c r="F22" s="385">
        <v>0.47699999999999998</v>
      </c>
      <c r="G22" s="385">
        <v>1.0760000000000001</v>
      </c>
      <c r="H22" s="385">
        <v>0.56000000000000005</v>
      </c>
      <c r="I22" s="386">
        <f t="shared" si="4"/>
        <v>2.113</v>
      </c>
      <c r="J22" s="387">
        <f t="shared" si="5"/>
        <v>0.61011380969142326</v>
      </c>
      <c r="K22" s="387">
        <f t="shared" si="6"/>
        <v>89.743589743589752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383" t="s">
        <v>175</v>
      </c>
      <c r="B23" s="384">
        <v>9.0779999999999994</v>
      </c>
      <c r="C23" s="385">
        <v>3.819</v>
      </c>
      <c r="D23" s="385">
        <v>3.5000000000000003E-2</v>
      </c>
      <c r="E23" s="386">
        <f t="shared" si="1"/>
        <v>12.931999999999999</v>
      </c>
      <c r="F23" s="385">
        <v>8.1000000000000003E-2</v>
      </c>
      <c r="G23" s="385">
        <v>0.217</v>
      </c>
      <c r="H23" s="385">
        <v>3.5000000000000003E-2</v>
      </c>
      <c r="I23" s="386">
        <f t="shared" si="4"/>
        <v>0.33299999999999996</v>
      </c>
      <c r="J23" s="387">
        <f t="shared" si="5"/>
        <v>0.27064645839777302</v>
      </c>
      <c r="K23" s="387">
        <f t="shared" si="6"/>
        <v>100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383" t="s">
        <v>176</v>
      </c>
      <c r="B24" s="384">
        <v>3.895</v>
      </c>
      <c r="C24" s="385">
        <v>1.9770000000000001</v>
      </c>
      <c r="D24" s="385">
        <v>3.4000000000000002E-2</v>
      </c>
      <c r="E24" s="386">
        <f t="shared" si="1"/>
        <v>5.9059999999999997</v>
      </c>
      <c r="F24" s="385">
        <v>3.7999999999999999E-2</v>
      </c>
      <c r="G24" s="385">
        <v>0.10100000000000001</v>
      </c>
      <c r="H24" s="385">
        <v>2.5000000000000001E-2</v>
      </c>
      <c r="I24" s="386">
        <f t="shared" si="4"/>
        <v>0.16400000000000001</v>
      </c>
      <c r="J24" s="387">
        <f t="shared" si="5"/>
        <v>0.57568574331188627</v>
      </c>
      <c r="K24" s="387">
        <f t="shared" si="6"/>
        <v>73.529411764705884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383" t="s">
        <v>177</v>
      </c>
      <c r="B25" s="384">
        <v>0</v>
      </c>
      <c r="C25" s="385">
        <v>0</v>
      </c>
      <c r="D25" s="385">
        <v>0</v>
      </c>
      <c r="E25" s="386">
        <f t="shared" si="1"/>
        <v>0</v>
      </c>
      <c r="F25" s="385">
        <v>0</v>
      </c>
      <c r="G25" s="385">
        <v>0</v>
      </c>
      <c r="H25" s="385">
        <v>0</v>
      </c>
      <c r="I25" s="386">
        <f t="shared" si="4"/>
        <v>0</v>
      </c>
      <c r="J25" s="387" t="str">
        <f t="shared" si="5"/>
        <v>-</v>
      </c>
      <c r="K25" s="387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388" t="s">
        <v>178</v>
      </c>
      <c r="B26" s="389">
        <v>0</v>
      </c>
      <c r="C26" s="390">
        <v>0</v>
      </c>
      <c r="D26" s="390">
        <v>0</v>
      </c>
      <c r="E26" s="391">
        <f t="shared" si="1"/>
        <v>0</v>
      </c>
      <c r="F26" s="390">
        <v>0</v>
      </c>
      <c r="G26" s="390">
        <v>0</v>
      </c>
      <c r="H26" s="390">
        <v>0</v>
      </c>
      <c r="I26" s="391">
        <f t="shared" si="4"/>
        <v>0</v>
      </c>
      <c r="J26" s="392" t="str">
        <f t="shared" si="5"/>
        <v>-</v>
      </c>
      <c r="K26" s="392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96" t="s">
        <v>179</v>
      </c>
      <c r="B27" s="404">
        <f>SUM(B28:B30)</f>
        <v>3357.2809999999999</v>
      </c>
      <c r="C27" s="405">
        <f t="shared" ref="C27:D27" si="7">SUM(C28:C30)</f>
        <v>288.42100000000005</v>
      </c>
      <c r="D27" s="405">
        <f t="shared" si="7"/>
        <v>96.038000000000011</v>
      </c>
      <c r="E27" s="406">
        <f t="shared" si="1"/>
        <v>3741.7400000000002</v>
      </c>
      <c r="F27" s="405">
        <f>SUM(F28:F30)</f>
        <v>36.588999999999999</v>
      </c>
      <c r="G27" s="405">
        <f t="shared" ref="G27" si="8">SUM(G28:G30)</f>
        <v>35.488999999999997</v>
      </c>
      <c r="H27" s="405">
        <f t="shared" ref="H27" si="9">SUM(H28:H30)</f>
        <v>83.435000000000002</v>
      </c>
      <c r="I27" s="406">
        <f t="shared" si="4"/>
        <v>155.51300000000001</v>
      </c>
      <c r="J27" s="407">
        <f t="shared" si="5"/>
        <v>2.5666668448368943</v>
      </c>
      <c r="K27" s="407">
        <f t="shared" si="6"/>
        <v>86.87706949332555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399" t="s">
        <v>180</v>
      </c>
      <c r="B28" s="400">
        <v>2157.3690000000001</v>
      </c>
      <c r="C28" s="401">
        <v>164.34700000000001</v>
      </c>
      <c r="D28" s="401">
        <v>75.900000000000006</v>
      </c>
      <c r="E28" s="402">
        <f t="shared" si="1"/>
        <v>2397.6160000000004</v>
      </c>
      <c r="F28" s="401">
        <v>24.63</v>
      </c>
      <c r="G28" s="401">
        <v>20.803999999999998</v>
      </c>
      <c r="H28" s="401">
        <v>66.984999999999999</v>
      </c>
      <c r="I28" s="402">
        <f t="shared" si="4"/>
        <v>112.419</v>
      </c>
      <c r="J28" s="403">
        <f t="shared" si="5"/>
        <v>3.1656445402433082</v>
      </c>
      <c r="K28" s="403">
        <f t="shared" si="6"/>
        <v>88.254281949934111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383" t="s">
        <v>181</v>
      </c>
      <c r="B29" s="384">
        <v>1059.5419999999999</v>
      </c>
      <c r="C29" s="385">
        <v>96.858000000000004</v>
      </c>
      <c r="D29" s="385">
        <v>5.8010000000000002</v>
      </c>
      <c r="E29" s="386">
        <f t="shared" si="1"/>
        <v>1162.2009999999998</v>
      </c>
      <c r="F29" s="385">
        <v>10.254</v>
      </c>
      <c r="G29" s="385">
        <v>11.78</v>
      </c>
      <c r="H29" s="385">
        <v>3.9889999999999999</v>
      </c>
      <c r="I29" s="386">
        <f t="shared" si="4"/>
        <v>26.023</v>
      </c>
      <c r="J29" s="387">
        <f t="shared" si="5"/>
        <v>0.49913913342012278</v>
      </c>
      <c r="K29" s="387">
        <f t="shared" si="6"/>
        <v>68.764006205826576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393" t="s">
        <v>182</v>
      </c>
      <c r="B30" s="394">
        <v>140.37</v>
      </c>
      <c r="C30" s="395">
        <v>27.216000000000001</v>
      </c>
      <c r="D30" s="395">
        <v>14.337</v>
      </c>
      <c r="E30" s="396">
        <f t="shared" si="1"/>
        <v>181.923</v>
      </c>
      <c r="F30" s="395">
        <v>1.7050000000000001</v>
      </c>
      <c r="G30" s="395">
        <v>2.9049999999999998</v>
      </c>
      <c r="H30" s="395">
        <v>12.461</v>
      </c>
      <c r="I30" s="396">
        <f t="shared" si="4"/>
        <v>17.070999999999998</v>
      </c>
      <c r="J30" s="397">
        <f t="shared" si="5"/>
        <v>7.8808067149288439</v>
      </c>
      <c r="K30" s="397">
        <f t="shared" si="6"/>
        <v>86.914975238892382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174" t="s">
        <v>183</v>
      </c>
      <c r="B31" s="175">
        <f>B5+B27</f>
        <v>6326.8760000000002</v>
      </c>
      <c r="C31" s="359">
        <f t="shared" ref="C31:D31" si="10">C5+C27</f>
        <v>778.95600000000002</v>
      </c>
      <c r="D31" s="359">
        <f t="shared" si="10"/>
        <v>219.04599999999999</v>
      </c>
      <c r="E31" s="358">
        <f t="shared" si="1"/>
        <v>7324.8780000000006</v>
      </c>
      <c r="F31" s="359">
        <f>F5+F27</f>
        <v>75.419999999999987</v>
      </c>
      <c r="G31" s="359">
        <f t="shared" ref="G31:H31" si="11">G5+G27</f>
        <v>88.247</v>
      </c>
      <c r="H31" s="359">
        <f t="shared" si="11"/>
        <v>172.70600000000002</v>
      </c>
      <c r="I31" s="358">
        <f t="shared" si="4"/>
        <v>336.37299999999999</v>
      </c>
      <c r="J31" s="398">
        <f t="shared" si="5"/>
        <v>2.9904388851254584</v>
      </c>
      <c r="K31" s="398">
        <f t="shared" si="6"/>
        <v>78.844626242889632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/>
  </sheetViews>
  <sheetFormatPr defaultRowHeight="14.4" x14ac:dyDescent="0.3"/>
  <cols>
    <col min="1" max="1" width="22.6640625" customWidth="1"/>
    <col min="2" max="2" width="7.5546875" customWidth="1"/>
    <col min="3" max="4" width="9.33203125" customWidth="1"/>
    <col min="5" max="6" width="7.5546875" customWidth="1"/>
    <col min="7" max="8" width="10.33203125" customWidth="1"/>
    <col min="9" max="9" width="7" customWidth="1"/>
    <col min="10" max="10" width="15.5546875" customWidth="1"/>
    <col min="11" max="14" width="5.77734375" customWidth="1"/>
  </cols>
  <sheetData>
    <row r="1" spans="1:9" ht="14.4" customHeight="1" x14ac:dyDescent="0.3">
      <c r="A1" s="142" t="s">
        <v>595</v>
      </c>
      <c r="B1" s="142"/>
      <c r="C1" s="142"/>
      <c r="D1" s="142"/>
      <c r="E1" s="142"/>
      <c r="F1" s="142"/>
      <c r="G1" s="142"/>
      <c r="H1" s="142"/>
      <c r="I1" s="145" t="s">
        <v>3</v>
      </c>
    </row>
    <row r="2" spans="1:9" ht="14.4" customHeight="1" x14ac:dyDescent="0.3">
      <c r="A2" s="832" t="s">
        <v>5</v>
      </c>
      <c r="B2" s="834" t="s">
        <v>958</v>
      </c>
      <c r="C2" s="835"/>
      <c r="D2" s="835"/>
      <c r="E2" s="836"/>
      <c r="F2" s="835" t="s">
        <v>961</v>
      </c>
      <c r="G2" s="835"/>
      <c r="H2" s="835"/>
      <c r="I2" s="835"/>
    </row>
    <row r="3" spans="1:9" ht="15" customHeight="1" x14ac:dyDescent="0.3">
      <c r="A3" s="832"/>
      <c r="B3" s="837" t="s">
        <v>151</v>
      </c>
      <c r="C3" s="838"/>
      <c r="D3" s="838"/>
      <c r="E3" s="839" t="s">
        <v>6</v>
      </c>
      <c r="F3" s="838" t="s">
        <v>151</v>
      </c>
      <c r="G3" s="838"/>
      <c r="H3" s="838"/>
      <c r="I3" s="841" t="s">
        <v>6</v>
      </c>
    </row>
    <row r="4" spans="1:9" ht="24" x14ac:dyDescent="0.3">
      <c r="A4" s="833"/>
      <c r="B4" s="236" t="s">
        <v>696</v>
      </c>
      <c r="C4" s="342" t="s">
        <v>697</v>
      </c>
      <c r="D4" s="342" t="s">
        <v>698</v>
      </c>
      <c r="E4" s="840"/>
      <c r="F4" s="342" t="s">
        <v>696</v>
      </c>
      <c r="G4" s="342" t="s">
        <v>697</v>
      </c>
      <c r="H4" s="342" t="s">
        <v>698</v>
      </c>
      <c r="I4" s="842"/>
    </row>
    <row r="5" spans="1:9" ht="14.1" customHeight="1" x14ac:dyDescent="0.3">
      <c r="A5" s="147" t="s">
        <v>7</v>
      </c>
      <c r="B5" s="148">
        <v>50.699541218904123</v>
      </c>
      <c r="C5" s="149">
        <v>47.763588482791789</v>
      </c>
      <c r="D5" s="149">
        <v>49.667968411004075</v>
      </c>
      <c r="E5" s="150">
        <v>4</v>
      </c>
      <c r="F5" s="149">
        <v>51.435345370701604</v>
      </c>
      <c r="G5" s="149">
        <v>48.392374211211646</v>
      </c>
      <c r="H5" s="149">
        <v>51.203360185680509</v>
      </c>
      <c r="I5" s="151">
        <v>4</v>
      </c>
    </row>
    <row r="6" spans="1:9" ht="14.1" customHeight="1" thickBot="1" x14ac:dyDescent="0.35">
      <c r="A6" s="152" t="s">
        <v>8</v>
      </c>
      <c r="B6" s="153">
        <v>49.300458781095877</v>
      </c>
      <c r="C6" s="154">
        <v>52.236411517208211</v>
      </c>
      <c r="D6" s="154">
        <v>50.332031588995925</v>
      </c>
      <c r="E6" s="155">
        <v>4</v>
      </c>
      <c r="F6" s="154">
        <v>48.564654629298396</v>
      </c>
      <c r="G6" s="154">
        <v>51.607625788788354</v>
      </c>
      <c r="H6" s="154">
        <v>48.796639814319491</v>
      </c>
      <c r="I6" s="156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4"/>
    </row>
    <row r="2" spans="1:4" x14ac:dyDescent="0.3">
      <c r="A2" s="177" t="s">
        <v>596</v>
      </c>
      <c r="B2" s="158"/>
      <c r="C2" s="158"/>
      <c r="D2" s="159" t="s">
        <v>695</v>
      </c>
    </row>
    <row r="3" spans="1:4" x14ac:dyDescent="0.3">
      <c r="A3" s="172" t="s">
        <v>0</v>
      </c>
      <c r="B3" s="160" t="s">
        <v>1</v>
      </c>
      <c r="C3" s="160" t="s">
        <v>760</v>
      </c>
      <c r="D3" s="160" t="s">
        <v>596</v>
      </c>
    </row>
    <row r="4" spans="1:4" x14ac:dyDescent="0.3">
      <c r="A4" s="344" t="s">
        <v>952</v>
      </c>
      <c r="B4" s="161">
        <v>3021</v>
      </c>
      <c r="C4" s="162">
        <v>10370.148999999999</v>
      </c>
      <c r="D4" s="162">
        <f>IFERROR(C4/B4,0)</f>
        <v>3.4326875206885137</v>
      </c>
    </row>
    <row r="5" spans="1:4" x14ac:dyDescent="0.3">
      <c r="A5" s="208" t="s">
        <v>958</v>
      </c>
      <c r="B5" s="144">
        <v>3139</v>
      </c>
      <c r="C5" s="163">
        <v>11205.343999999999</v>
      </c>
      <c r="D5" s="163">
        <f>IFERROR(C5/B5,0)</f>
        <v>3.5697177445046191</v>
      </c>
    </row>
    <row r="6" spans="1:4" x14ac:dyDescent="0.3">
      <c r="A6" s="345" t="s">
        <v>961</v>
      </c>
      <c r="B6" s="164">
        <v>3148</v>
      </c>
      <c r="C6" s="165">
        <v>12428.298000000001</v>
      </c>
      <c r="D6" s="165">
        <f>IFERROR(C6/B6,0)</f>
        <v>3.9479980940279544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/>
  <dimension ref="A1:FW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259" customWidth="1"/>
    <col min="9" max="9" width="9.109375" style="651" hidden="1" customWidth="1"/>
    <col min="10" max="10" width="9.109375" style="3"/>
    <col min="11" max="14" width="5.77734375" style="3" customWidth="1"/>
    <col min="15" max="16384" width="9.109375" style="3"/>
  </cols>
  <sheetData>
    <row r="1" spans="1:179" ht="12" hidden="1" customHeight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24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171" t="s">
        <v>764</v>
      </c>
      <c r="B3" s="491"/>
      <c r="C3" s="491"/>
      <c r="D3" s="491"/>
      <c r="E3" s="491"/>
      <c r="F3" s="491"/>
      <c r="G3" s="491"/>
      <c r="H3" s="159" t="s">
        <v>695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832" t="s">
        <v>10</v>
      </c>
      <c r="B4" s="843" t="s">
        <v>952</v>
      </c>
      <c r="C4" s="844"/>
      <c r="D4" s="843" t="s">
        <v>958</v>
      </c>
      <c r="E4" s="844"/>
      <c r="F4" s="843" t="s">
        <v>961</v>
      </c>
      <c r="G4" s="844"/>
      <c r="H4" s="846" t="str">
        <f>IF(LEN(F4)&gt;5,"Индекс " &amp; MID(F4,1,2) &amp; "-" &amp; MID(F4,4,5) &amp; "/" &amp; D4,"Индекс " &amp; F4 &amp; "/" &amp; D4)</f>
        <v>Индекс 2025./2024.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845"/>
      <c r="B5" s="167" t="s">
        <v>2</v>
      </c>
      <c r="C5" s="168" t="s">
        <v>3</v>
      </c>
      <c r="D5" s="167" t="s">
        <v>2</v>
      </c>
      <c r="E5" s="168" t="s">
        <v>3</v>
      </c>
      <c r="F5" s="167" t="s">
        <v>2</v>
      </c>
      <c r="G5" s="168" t="s">
        <v>3</v>
      </c>
      <c r="H5" s="847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490" t="s">
        <v>699</v>
      </c>
      <c r="B6" s="499"/>
      <c r="C6" s="500"/>
      <c r="D6" s="499"/>
      <c r="E6" s="500"/>
      <c r="F6" s="499"/>
      <c r="G6" s="500"/>
      <c r="H6" s="501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147" t="s">
        <v>809</v>
      </c>
      <c r="B7" s="664">
        <v>2560.04</v>
      </c>
      <c r="C7" s="665">
        <f t="shared" ref="C7:C12" si="0">IF(B$13&lt;&gt;0,B7*100/B$13,0)</f>
        <v>24.686626971319313</v>
      </c>
      <c r="D7" s="664">
        <v>2755.931</v>
      </c>
      <c r="E7" s="665">
        <f t="shared" ref="E7:E12" si="1">IF(D$13&lt;&gt;0,D7*100/D$13,0)</f>
        <v>24.594791556600136</v>
      </c>
      <c r="F7" s="664">
        <v>3014.009</v>
      </c>
      <c r="G7" s="665">
        <f t="shared" ref="G7:G12" si="2">IF(F$13&lt;&gt;0,F7*100/F$13,0)</f>
        <v>24.25118065241114</v>
      </c>
      <c r="H7" s="144">
        <f>IF(D7&lt;&gt;0,F7/D7*100,"")</f>
        <v>109.36445796357019</v>
      </c>
      <c r="I7" s="651" t="s">
        <v>828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147" t="s">
        <v>810</v>
      </c>
      <c r="B8" s="664">
        <v>1389.796</v>
      </c>
      <c r="C8" s="665">
        <f t="shared" si="0"/>
        <v>13.401890368209754</v>
      </c>
      <c r="D8" s="664">
        <v>1329.1849999999999</v>
      </c>
      <c r="E8" s="665">
        <f t="shared" si="1"/>
        <v>11.862063315503747</v>
      </c>
      <c r="F8" s="664">
        <v>1695.462</v>
      </c>
      <c r="G8" s="665">
        <f t="shared" si="2"/>
        <v>13.641948398726843</v>
      </c>
      <c r="H8" s="144">
        <f t="shared" ref="H8:H26" si="3">IF(D8&lt;&gt;0,F8/D8*100,"")</f>
        <v>127.55651019233592</v>
      </c>
      <c r="I8" s="651" t="s">
        <v>833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147" t="s">
        <v>210</v>
      </c>
      <c r="B9" s="664">
        <v>28.584</v>
      </c>
      <c r="C9" s="665">
        <f t="shared" si="0"/>
        <v>0.27563731244363027</v>
      </c>
      <c r="D9" s="664">
        <v>51.389000000000003</v>
      </c>
      <c r="E9" s="665">
        <f t="shared" si="1"/>
        <v>0.45861153392524145</v>
      </c>
      <c r="F9" s="664">
        <v>6.24</v>
      </c>
      <c r="G9" s="665">
        <f t="shared" si="2"/>
        <v>5.0208001127748952E-2</v>
      </c>
      <c r="H9" s="144">
        <f t="shared" si="3"/>
        <v>12.142676448267139</v>
      </c>
      <c r="I9" s="651" t="s">
        <v>829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147" t="s">
        <v>12</v>
      </c>
      <c r="B10" s="664">
        <v>6056.5429999999997</v>
      </c>
      <c r="C10" s="665">
        <f t="shared" si="0"/>
        <v>58.403625637394406</v>
      </c>
      <c r="D10" s="664">
        <v>6695.1629999999996</v>
      </c>
      <c r="E10" s="665">
        <f t="shared" si="1"/>
        <v>59.74973191362978</v>
      </c>
      <c r="F10" s="664">
        <v>7324.8760000000002</v>
      </c>
      <c r="G10" s="665">
        <f t="shared" si="2"/>
        <v>58.937080523817507</v>
      </c>
      <c r="H10" s="144">
        <f t="shared" si="3"/>
        <v>109.40549169601996</v>
      </c>
      <c r="I10" s="651" t="s">
        <v>769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147" t="s">
        <v>811</v>
      </c>
      <c r="B11" s="664">
        <v>189.06800000000001</v>
      </c>
      <c r="C11" s="665">
        <f t="shared" si="0"/>
        <v>1.8231946329797193</v>
      </c>
      <c r="D11" s="664">
        <v>193.57900000000001</v>
      </c>
      <c r="E11" s="665">
        <f t="shared" si="1"/>
        <v>1.7275596358309038</v>
      </c>
      <c r="F11" s="664">
        <v>202.74600000000001</v>
      </c>
      <c r="G11" s="665">
        <f t="shared" si="2"/>
        <v>1.6313255443343895</v>
      </c>
      <c r="H11" s="144">
        <f t="shared" si="3"/>
        <v>104.73553432965352</v>
      </c>
      <c r="I11" s="651" t="s">
        <v>830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147" t="s">
        <v>812</v>
      </c>
      <c r="B12" s="664">
        <v>146.11799999999999</v>
      </c>
      <c r="C12" s="665">
        <f t="shared" si="0"/>
        <v>1.4090250776531754</v>
      </c>
      <c r="D12" s="664">
        <v>180.09700000000001</v>
      </c>
      <c r="E12" s="665">
        <f t="shared" si="1"/>
        <v>1.6072420445101911</v>
      </c>
      <c r="F12" s="664">
        <v>184.965</v>
      </c>
      <c r="G12" s="665">
        <f t="shared" si="2"/>
        <v>1.4882568795823854</v>
      </c>
      <c r="H12" s="144">
        <f t="shared" si="3"/>
        <v>102.70298783433371</v>
      </c>
      <c r="I12" s="651" t="s">
        <v>834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6" t="s">
        <v>813</v>
      </c>
      <c r="B13" s="666">
        <f t="shared" ref="B13:G13" si="4">SUM(B7:B12)</f>
        <v>10370.148999999999</v>
      </c>
      <c r="C13" s="667">
        <f t="shared" si="4"/>
        <v>99.999999999999986</v>
      </c>
      <c r="D13" s="666">
        <f t="shared" si="4"/>
        <v>11205.343999999999</v>
      </c>
      <c r="E13" s="667">
        <f t="shared" si="4"/>
        <v>100</v>
      </c>
      <c r="F13" s="666">
        <f t="shared" si="4"/>
        <v>12428.297999999999</v>
      </c>
      <c r="G13" s="667">
        <f t="shared" si="4"/>
        <v>100</v>
      </c>
      <c r="H13" s="189">
        <f t="shared" si="3"/>
        <v>110.91402459397943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6" t="s">
        <v>814</v>
      </c>
      <c r="B14" s="666">
        <f>B15+B16</f>
        <v>339.572</v>
      </c>
      <c r="C14" s="668"/>
      <c r="D14" s="666">
        <f>D15+D16</f>
        <v>349.524</v>
      </c>
      <c r="E14" s="668"/>
      <c r="F14" s="666">
        <f>F15+F16</f>
        <v>361.36900000000003</v>
      </c>
      <c r="G14" s="668"/>
      <c r="H14" s="189">
        <f t="shared" si="3"/>
        <v>103.38889461095661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147" t="s">
        <v>815</v>
      </c>
      <c r="B15" s="664">
        <v>314.91500000000002</v>
      </c>
      <c r="C15" s="665"/>
      <c r="D15" s="664">
        <v>327.17</v>
      </c>
      <c r="E15" s="665"/>
      <c r="F15" s="664">
        <v>336.37700000000001</v>
      </c>
      <c r="G15" s="665"/>
      <c r="H15" s="144">
        <f t="shared" si="3"/>
        <v>102.81413332518264</v>
      </c>
      <c r="I15" s="651" t="s">
        <v>826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147" t="s">
        <v>816</v>
      </c>
      <c r="B16" s="664">
        <v>24.657</v>
      </c>
      <c r="C16" s="665"/>
      <c r="D16" s="664">
        <v>22.353999999999999</v>
      </c>
      <c r="E16" s="665"/>
      <c r="F16" s="664">
        <v>24.992000000000001</v>
      </c>
      <c r="G16" s="665"/>
      <c r="H16" s="144">
        <f t="shared" si="3"/>
        <v>111.8010199516865</v>
      </c>
      <c r="I16" s="651" t="s">
        <v>827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6" t="s">
        <v>817</v>
      </c>
      <c r="B17" s="666">
        <f>B13-B14</f>
        <v>10030.576999999999</v>
      </c>
      <c r="C17" s="668"/>
      <c r="D17" s="666">
        <f>D13-D14</f>
        <v>10855.82</v>
      </c>
      <c r="E17" s="668"/>
      <c r="F17" s="666">
        <f>F13-F14</f>
        <v>12066.928999999998</v>
      </c>
      <c r="G17" s="668"/>
      <c r="H17" s="189">
        <f t="shared" si="3"/>
        <v>111.15631062416287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490" t="s">
        <v>818</v>
      </c>
      <c r="B18" s="669"/>
      <c r="C18" s="670"/>
      <c r="D18" s="669"/>
      <c r="E18" s="670"/>
      <c r="F18" s="669"/>
      <c r="G18" s="670"/>
      <c r="H18" s="644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147" t="s">
        <v>819</v>
      </c>
      <c r="B19" s="664">
        <v>7740.107</v>
      </c>
      <c r="C19" s="665">
        <f>IF(B$26&lt;&gt;0,B19*100/B$26,0)</f>
        <v>77.165122205831224</v>
      </c>
      <c r="D19" s="664">
        <v>8354.1749999999993</v>
      </c>
      <c r="E19" s="665">
        <f>IF(D$26&lt;&gt;0,D19*100/D$26,0)</f>
        <v>76.955725131772624</v>
      </c>
      <c r="F19" s="664">
        <v>9348.5310000000009</v>
      </c>
      <c r="G19" s="665">
        <f>IF(F$26&lt;&gt;0,F19*100/F$26,0)</f>
        <v>77.472329538029115</v>
      </c>
      <c r="H19" s="144">
        <f t="shared" si="3"/>
        <v>111.90250383790143</v>
      </c>
      <c r="I19" s="651" t="s">
        <v>770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147" t="s">
        <v>820</v>
      </c>
      <c r="B20" s="664">
        <v>717.84799999999996</v>
      </c>
      <c r="C20" s="665">
        <f t="shared" ref="C20:E25" si="5">IF(B$26&lt;&gt;0,B20*100/B$26,0)</f>
        <v>7.1565972725198153</v>
      </c>
      <c r="D20" s="664">
        <v>671.36900000000003</v>
      </c>
      <c r="E20" s="665">
        <f t="shared" si="5"/>
        <v>6.1844153642930717</v>
      </c>
      <c r="F20" s="664">
        <v>752.65899999999999</v>
      </c>
      <c r="G20" s="665">
        <f t="shared" ref="G20" si="6">IF(F$26&lt;&gt;0,F20*100/F$26,0)</f>
        <v>6.2373699223721291</v>
      </c>
      <c r="H20" s="144">
        <f t="shared" si="3"/>
        <v>112.10809554805181</v>
      </c>
      <c r="I20" s="651" t="s">
        <v>771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147" t="s">
        <v>821</v>
      </c>
      <c r="B21" s="664">
        <v>70.849000000000004</v>
      </c>
      <c r="C21" s="665">
        <f>IF(B$26&lt;&gt;0,B21*100/B$26,0)</f>
        <v>0.70633025398239813</v>
      </c>
      <c r="D21" s="664">
        <v>99.652000000000001</v>
      </c>
      <c r="E21" s="665">
        <f t="shared" si="5"/>
        <v>0.91795921450429363</v>
      </c>
      <c r="F21" s="664">
        <v>102.889</v>
      </c>
      <c r="G21" s="665">
        <f t="shared" ref="G21:G22" si="7">IF(F$26&lt;&gt;0,F21*100/F$26,0)</f>
        <v>0.8526527337651526</v>
      </c>
      <c r="H21" s="144">
        <f t="shared" si="3"/>
        <v>103.24830409826195</v>
      </c>
      <c r="I21" s="651" t="s">
        <v>772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239" t="s">
        <v>892</v>
      </c>
      <c r="B22" s="664">
        <v>16.96</v>
      </c>
      <c r="C22" s="665">
        <f>IF(B$26&lt;&gt;0,B22*100/B$26,0)</f>
        <v>0.16908299492641352</v>
      </c>
      <c r="D22" s="664">
        <v>16.908000000000001</v>
      </c>
      <c r="E22" s="665">
        <f t="shared" si="5"/>
        <v>0.155750555922998</v>
      </c>
      <c r="F22" s="664">
        <v>14.587</v>
      </c>
      <c r="G22" s="665">
        <f t="shared" si="7"/>
        <v>0.12088411227081887</v>
      </c>
      <c r="H22" s="144">
        <f>IF(D22&lt;&gt;0,F22/D22*100,"")</f>
        <v>86.272770286255025</v>
      </c>
      <c r="I22" s="651" t="s">
        <v>831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147" t="s">
        <v>893</v>
      </c>
      <c r="B23" s="664">
        <v>178.75399999999999</v>
      </c>
      <c r="C23" s="665">
        <f t="shared" si="5"/>
        <v>1.782090900653073</v>
      </c>
      <c r="D23" s="664">
        <v>227.071</v>
      </c>
      <c r="E23" s="665">
        <f t="shared" si="5"/>
        <v>2.0916982779743951</v>
      </c>
      <c r="F23" s="664">
        <v>200.958</v>
      </c>
      <c r="G23" s="665">
        <f t="shared" ref="G23" si="8">IF(F$26&lt;&gt;0,F23*100/F$26,0)</f>
        <v>1.6653615845423471</v>
      </c>
      <c r="H23" s="144">
        <f>IF(D23&lt;&gt;0,F23/D23*100,"")</f>
        <v>88.500072664497011</v>
      </c>
      <c r="I23" s="651" t="s">
        <v>835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625" t="s">
        <v>822</v>
      </c>
      <c r="B24" s="671"/>
      <c r="C24" s="670"/>
      <c r="D24" s="671"/>
      <c r="E24" s="670"/>
      <c r="F24" s="671"/>
      <c r="G24" s="670"/>
      <c r="H24" s="64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14.4" x14ac:dyDescent="0.3">
      <c r="A25" s="484" t="s">
        <v>894</v>
      </c>
      <c r="B25" s="664">
        <v>1306.059</v>
      </c>
      <c r="C25" s="665">
        <f t="shared" si="5"/>
        <v>13.02077637208707</v>
      </c>
      <c r="D25" s="664">
        <v>1486.645</v>
      </c>
      <c r="E25" s="665">
        <f t="shared" si="5"/>
        <v>13.694451455532608</v>
      </c>
      <c r="F25" s="664">
        <v>1647.3050000000001</v>
      </c>
      <c r="G25" s="665">
        <f t="shared" ref="G25" si="9">IF(F$26&lt;&gt;0,F25*100/F$26,0)</f>
        <v>13.651402109020447</v>
      </c>
      <c r="H25" s="144">
        <f t="shared" si="3"/>
        <v>110.80688395682898</v>
      </c>
      <c r="I25" s="651" t="s">
        <v>832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5" thickBot="1" x14ac:dyDescent="0.35">
      <c r="A26" s="170" t="s">
        <v>896</v>
      </c>
      <c r="B26" s="672">
        <f t="shared" ref="B26:G26" si="10">SUM(B19:B25)</f>
        <v>10030.576999999999</v>
      </c>
      <c r="C26" s="673">
        <f t="shared" si="10"/>
        <v>100</v>
      </c>
      <c r="D26" s="672">
        <f t="shared" si="10"/>
        <v>10855.82</v>
      </c>
      <c r="E26" s="673">
        <f t="shared" si="10"/>
        <v>100</v>
      </c>
      <c r="F26" s="672">
        <f t="shared" si="10"/>
        <v>12066.929</v>
      </c>
      <c r="G26" s="673">
        <f t="shared" si="10"/>
        <v>100.00000000000001</v>
      </c>
      <c r="H26" s="559">
        <f t="shared" si="3"/>
        <v>111.15631062416288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2" customWidth="1"/>
    <col min="10" max="14" width="5.77734375" customWidth="1"/>
  </cols>
  <sheetData>
    <row r="1" spans="1:179" hidden="1" x14ac:dyDescent="0.3"/>
    <row r="2" spans="1:179" x14ac:dyDescent="0.3">
      <c r="A2" s="18"/>
      <c r="B2" s="18"/>
      <c r="C2" s="18"/>
      <c r="D2" s="18"/>
      <c r="E2" s="18"/>
      <c r="F2" s="18"/>
      <c r="G2" s="18"/>
      <c r="H2" s="192"/>
    </row>
    <row r="3" spans="1:179" x14ac:dyDescent="0.3">
      <c r="A3" s="142" t="s">
        <v>597</v>
      </c>
      <c r="B3" s="142"/>
      <c r="C3" s="142"/>
      <c r="D3" s="142"/>
      <c r="E3" s="142"/>
      <c r="F3" s="142"/>
      <c r="G3" s="173"/>
      <c r="H3" s="159" t="s">
        <v>695</v>
      </c>
    </row>
    <row r="4" spans="1:179" ht="14.4" customHeight="1" x14ac:dyDescent="0.3">
      <c r="A4" s="832" t="s">
        <v>10</v>
      </c>
      <c r="B4" s="834" t="s">
        <v>952</v>
      </c>
      <c r="C4" s="836"/>
      <c r="D4" s="834" t="s">
        <v>958</v>
      </c>
      <c r="E4" s="836"/>
      <c r="F4" s="834" t="s">
        <v>961</v>
      </c>
      <c r="G4" s="836"/>
      <c r="H4" s="848" t="str">
        <f>IF(LEN(F4)&gt;5,"Индекс " &amp; MID(F4,1,2) &amp; "-" &amp; MID(F4,4,5) &amp; "/" &amp; D4,"Индекс " &amp; F4 &amp; "/" &amp; D4)</f>
        <v>Индекс 2025./2024.</v>
      </c>
    </row>
    <row r="5" spans="1:179" ht="14.1" customHeight="1" x14ac:dyDescent="0.3">
      <c r="A5" s="833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42"/>
    </row>
    <row r="6" spans="1:179" x14ac:dyDescent="0.3">
      <c r="A6" s="147" t="s">
        <v>787</v>
      </c>
      <c r="B6" s="148">
        <v>861.40499999999997</v>
      </c>
      <c r="C6" s="460">
        <f>IF($B$14&lt;&gt;0,B6*100/$B$14,0)</f>
        <v>11.129109713857961</v>
      </c>
      <c r="D6" s="148">
        <v>669.68799999999999</v>
      </c>
      <c r="E6" s="460">
        <f>IF($D$14&lt;&gt;0,D6*100/$D$14,0)</f>
        <v>8.0162074651297122</v>
      </c>
      <c r="F6" s="148">
        <v>774.91800000000001</v>
      </c>
      <c r="G6" s="460">
        <f>IF($F$14&lt;&gt;0,F6*100/$F$14,0)</f>
        <v>8.2891953826756328</v>
      </c>
      <c r="H6" s="144">
        <f>IF(D6&lt;&gt;0,F6/D6*100,"-")</f>
        <v>115.71328738158667</v>
      </c>
    </row>
    <row r="7" spans="1:179" x14ac:dyDescent="0.3">
      <c r="A7" s="147" t="s">
        <v>700</v>
      </c>
      <c r="B7" s="148">
        <v>311.923</v>
      </c>
      <c r="C7" s="460">
        <f>IF($B$14&lt;&gt;0,B7*100/$B$14,0)</f>
        <v>4.0299572086018962</v>
      </c>
      <c r="D7" s="148">
        <v>261.435</v>
      </c>
      <c r="E7" s="460">
        <f t="shared" ref="E7:E13" si="0">IF($D$14&lt;&gt;0,D7*100/$D$14,0)</f>
        <v>3.1293933871387662</v>
      </c>
      <c r="F7" s="148">
        <v>321.31799999999998</v>
      </c>
      <c r="G7" s="460">
        <f t="shared" ref="G7:G13" si="1">IF($F$14&lt;&gt;0,F7*100/$F$14,0)</f>
        <v>3.4370961598137719</v>
      </c>
      <c r="H7" s="144">
        <f t="shared" ref="H7:H14" si="2">IF(D7&lt;&gt;0,F7/D7*100,"-")</f>
        <v>122.90550232371334</v>
      </c>
    </row>
    <row r="8" spans="1:179" x14ac:dyDescent="0.3">
      <c r="A8" s="147" t="s">
        <v>701</v>
      </c>
      <c r="B8" s="148">
        <v>1426.723</v>
      </c>
      <c r="C8" s="460">
        <f t="shared" ref="C8:C13" si="3">IF($B$14&lt;&gt;0,B8*100/$B$14,0)</f>
        <v>18.432858873914789</v>
      </c>
      <c r="D8" s="148">
        <v>1674.501</v>
      </c>
      <c r="E8" s="460">
        <f t="shared" si="0"/>
        <v>20.043882250491524</v>
      </c>
      <c r="F8" s="148">
        <v>1834.7639999999999</v>
      </c>
      <c r="G8" s="460">
        <f t="shared" si="1"/>
        <v>19.626227906823008</v>
      </c>
      <c r="H8" s="144">
        <f t="shared" si="2"/>
        <v>109.57079153729975</v>
      </c>
    </row>
    <row r="9" spans="1:179" x14ac:dyDescent="0.3">
      <c r="A9" s="147" t="s">
        <v>702</v>
      </c>
      <c r="B9" s="148">
        <v>149.23699999999999</v>
      </c>
      <c r="C9" s="460">
        <f t="shared" si="3"/>
        <v>1.9280999603752247</v>
      </c>
      <c r="D9" s="148">
        <v>171.405</v>
      </c>
      <c r="E9" s="460">
        <f t="shared" si="0"/>
        <v>2.051728626704612</v>
      </c>
      <c r="F9" s="148">
        <v>188.68299999999999</v>
      </c>
      <c r="G9" s="460">
        <f t="shared" si="1"/>
        <v>2.0183171024410145</v>
      </c>
      <c r="H9" s="144">
        <f t="shared" si="2"/>
        <v>110.08021936349581</v>
      </c>
    </row>
    <row r="10" spans="1:179" x14ac:dyDescent="0.3">
      <c r="A10" s="147" t="s">
        <v>703</v>
      </c>
      <c r="B10" s="148">
        <v>131.697</v>
      </c>
      <c r="C10" s="460">
        <f t="shared" si="3"/>
        <v>1.7014881060429785</v>
      </c>
      <c r="D10" s="148">
        <v>218.084</v>
      </c>
      <c r="E10" s="460">
        <f t="shared" si="0"/>
        <v>2.6104791915419541</v>
      </c>
      <c r="F10" s="148">
        <v>125.321</v>
      </c>
      <c r="G10" s="460">
        <f t="shared" si="1"/>
        <v>1.3405421664644426</v>
      </c>
      <c r="H10" s="144">
        <f t="shared" si="2"/>
        <v>57.464554942132381</v>
      </c>
    </row>
    <row r="11" spans="1:179" x14ac:dyDescent="0.3">
      <c r="A11" s="147" t="s">
        <v>704</v>
      </c>
      <c r="B11" s="148">
        <v>265.66300000000001</v>
      </c>
      <c r="C11" s="460">
        <f t="shared" si="3"/>
        <v>3.4322910523071584</v>
      </c>
      <c r="D11" s="148">
        <v>286.59500000000003</v>
      </c>
      <c r="E11" s="460">
        <f t="shared" si="0"/>
        <v>3.4305601690172884</v>
      </c>
      <c r="F11" s="148">
        <v>339.84800000000001</v>
      </c>
      <c r="G11" s="460">
        <f t="shared" si="1"/>
        <v>3.6353091196895004</v>
      </c>
      <c r="H11" s="144">
        <f t="shared" si="2"/>
        <v>118.58127322528307</v>
      </c>
    </row>
    <row r="12" spans="1:179" x14ac:dyDescent="0.3">
      <c r="A12" s="147" t="s">
        <v>789</v>
      </c>
      <c r="B12" s="148">
        <v>4587.915</v>
      </c>
      <c r="C12" s="460">
        <f t="shared" si="3"/>
        <v>59.27456816811447</v>
      </c>
      <c r="D12" s="148">
        <v>5066.857</v>
      </c>
      <c r="E12" s="460">
        <f t="shared" si="0"/>
        <v>60.650596857259998</v>
      </c>
      <c r="F12" s="148">
        <v>5758.7849999999999</v>
      </c>
      <c r="G12" s="460">
        <f t="shared" si="1"/>
        <v>61.600961691200474</v>
      </c>
      <c r="H12" s="144">
        <f t="shared" si="2"/>
        <v>113.65596068726629</v>
      </c>
    </row>
    <row r="13" spans="1:179" x14ac:dyDescent="0.3">
      <c r="A13" s="147" t="s">
        <v>152</v>
      </c>
      <c r="B13" s="148">
        <v>5.5439999999999996</v>
      </c>
      <c r="C13" s="460">
        <f t="shared" si="3"/>
        <v>7.1626916785517303E-2</v>
      </c>
      <c r="D13" s="148">
        <v>5.61</v>
      </c>
      <c r="E13" s="460">
        <f t="shared" si="0"/>
        <v>6.7152052716156901E-2</v>
      </c>
      <c r="F13" s="148">
        <v>4.8940000000000001</v>
      </c>
      <c r="G13" s="460">
        <f t="shared" si="1"/>
        <v>5.2350470892164776E-2</v>
      </c>
      <c r="H13" s="144">
        <f t="shared" si="2"/>
        <v>87.237076648841352</v>
      </c>
    </row>
    <row r="14" spans="1:179" s="2" customFormat="1" ht="15" thickBot="1" x14ac:dyDescent="0.35">
      <c r="A14" s="174" t="s">
        <v>30</v>
      </c>
      <c r="B14" s="175">
        <f>SUM(B6:B13)</f>
        <v>7740.107</v>
      </c>
      <c r="C14" s="461">
        <f t="shared" ref="C14:G14" si="4">SUM(C6:C13)</f>
        <v>100</v>
      </c>
      <c r="D14" s="175">
        <f>SUM(D6:D13)</f>
        <v>8354.1749999999993</v>
      </c>
      <c r="E14" s="461">
        <f t="shared" si="4"/>
        <v>100</v>
      </c>
      <c r="F14" s="175">
        <f>SUM(F6:F13)</f>
        <v>9348.530999999999</v>
      </c>
      <c r="G14" s="461">
        <f t="shared" si="4"/>
        <v>100.00000000000001</v>
      </c>
      <c r="H14" s="176">
        <f t="shared" si="2"/>
        <v>111.90250383790141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2" customWidth="1"/>
    <col min="10" max="14" width="5.77734375" customWidth="1"/>
  </cols>
  <sheetData>
    <row r="1" spans="1:176" hidden="1" x14ac:dyDescent="0.3"/>
    <row r="2" spans="1:176" x14ac:dyDescent="0.3">
      <c r="A2" s="181"/>
    </row>
    <row r="3" spans="1:176" x14ac:dyDescent="0.3">
      <c r="A3" s="177" t="s">
        <v>598</v>
      </c>
      <c r="B3" s="178"/>
      <c r="C3" s="178"/>
      <c r="D3" s="178"/>
      <c r="E3" s="178"/>
      <c r="F3" s="178"/>
      <c r="G3" s="178"/>
      <c r="H3" s="159" t="s">
        <v>695</v>
      </c>
    </row>
    <row r="4" spans="1:176" x14ac:dyDescent="0.3">
      <c r="A4" s="832" t="s">
        <v>10</v>
      </c>
      <c r="B4" s="843" t="s">
        <v>952</v>
      </c>
      <c r="C4" s="844"/>
      <c r="D4" s="843" t="s">
        <v>958</v>
      </c>
      <c r="E4" s="844"/>
      <c r="F4" s="843" t="s">
        <v>961</v>
      </c>
      <c r="G4" s="844"/>
      <c r="H4" s="848" t="str">
        <f>IF(LEN(F4)&gt;5,"Индекс " &amp; MID(F4,1,2) &amp; "-" &amp; MID(F4,4,5) &amp; "/" &amp; D4,"Индекс " &amp; F4 &amp; "/" &amp; D4)</f>
        <v>Индекс 2025./2024.</v>
      </c>
    </row>
    <row r="5" spans="1:176" ht="14.1" customHeight="1" x14ac:dyDescent="0.3">
      <c r="A5" s="845"/>
      <c r="B5" s="167" t="s">
        <v>2</v>
      </c>
      <c r="C5" s="168" t="s">
        <v>3</v>
      </c>
      <c r="D5" s="167" t="s">
        <v>2</v>
      </c>
      <c r="E5" s="168" t="s">
        <v>3</v>
      </c>
      <c r="F5" s="167" t="s">
        <v>2</v>
      </c>
      <c r="G5" s="179" t="s">
        <v>3</v>
      </c>
      <c r="H5" s="842"/>
    </row>
    <row r="6" spans="1:176" ht="15" customHeight="1" x14ac:dyDescent="0.3">
      <c r="A6" s="147" t="s">
        <v>15</v>
      </c>
      <c r="B6" s="169">
        <v>5320.3860000000004</v>
      </c>
      <c r="C6" s="462">
        <f>IF($B$8&lt;&gt;0,ROUND(B6*100/$B$8,1),0)</f>
        <v>68.7</v>
      </c>
      <c r="D6" s="169">
        <v>5857.5439999999999</v>
      </c>
      <c r="E6" s="462">
        <f>IF($D$8&lt;&gt;0,ROUND(D6*100/$D$8,1),0)</f>
        <v>70.099999999999994</v>
      </c>
      <c r="F6" s="169">
        <v>6754.8230000000003</v>
      </c>
      <c r="G6" s="464">
        <f>IF($F$8&lt;&gt;0,ROUND(F6*100/$F$8,1),0)</f>
        <v>72.3</v>
      </c>
      <c r="H6" s="642">
        <f>IF(D6&lt;&gt;0,F6/D6*100,"-")</f>
        <v>115.31834844091655</v>
      </c>
    </row>
    <row r="7" spans="1:176" ht="15" customHeight="1" x14ac:dyDescent="0.3">
      <c r="A7" s="147" t="s">
        <v>943</v>
      </c>
      <c r="B7" s="169">
        <v>2419.721</v>
      </c>
      <c r="C7" s="462">
        <f>IF($B$8&lt;&gt;0,ROUND(B7*100/$B$8,1),0)</f>
        <v>31.3</v>
      </c>
      <c r="D7" s="169">
        <v>2496.6309999999999</v>
      </c>
      <c r="E7" s="462">
        <f>IF($D$8&lt;&gt;0,ROUND(D7*100/$D$8,1),0)</f>
        <v>29.9</v>
      </c>
      <c r="F7" s="169">
        <v>2593.7080000000001</v>
      </c>
      <c r="G7" s="464">
        <f>IF($F$8&lt;&gt;0,ROUND(F7*100/$F$8,1),0)</f>
        <v>27.7</v>
      </c>
      <c r="H7" s="642">
        <f>IF(D7&lt;&gt;0,F7/D7*100,"-")</f>
        <v>103.88831989989711</v>
      </c>
    </row>
    <row r="8" spans="1:176" s="2" customFormat="1" ht="15" customHeight="1" thickBot="1" x14ac:dyDescent="0.35">
      <c r="A8" s="170" t="s">
        <v>30</v>
      </c>
      <c r="B8" s="180">
        <f t="shared" ref="B8:G8" si="0">SUM(B6:B7)</f>
        <v>7740.107</v>
      </c>
      <c r="C8" s="463">
        <f t="shared" si="0"/>
        <v>100</v>
      </c>
      <c r="D8" s="180">
        <f t="shared" si="0"/>
        <v>8354.1749999999993</v>
      </c>
      <c r="E8" s="463">
        <f t="shared" si="0"/>
        <v>100</v>
      </c>
      <c r="F8" s="180">
        <f t="shared" si="0"/>
        <v>9348.5310000000009</v>
      </c>
      <c r="G8" s="465">
        <f t="shared" si="0"/>
        <v>100</v>
      </c>
      <c r="H8" s="643">
        <f t="shared" ref="H8" si="1">IF(D8&lt;&gt;0,F8/D8*100,"")</f>
        <v>111.90250383790143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42</vt:i4>
      </vt:variant>
    </vt:vector>
  </HeadingPairs>
  <TitlesOfParts>
    <vt:vector size="84" baseType="lpstr">
      <vt:lpstr>CRPst</vt:lpstr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38pom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38pom'!Print_Area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2026-04-08T07:23:30Z</dcterms:modified>
</cp:coreProperties>
</file>